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320" windowHeight="13350"/>
  </bookViews>
  <sheets>
    <sheet name="Model" sheetId="1" r:id="rId1"/>
    <sheet name="Column_B" sheetId="2" r:id="rId2"/>
    <sheet name="Column_C" sheetId="7" r:id="rId3"/>
    <sheet name="Column_D" sheetId="6" r:id="rId4"/>
  </sheets>
  <calcPr calcId="124519"/>
</workbook>
</file>

<file path=xl/calcChain.xml><?xml version="1.0" encoding="utf-8"?>
<calcChain xmlns="http://schemas.openxmlformats.org/spreadsheetml/2006/main">
  <c r="C38" i="1"/>
  <c r="D38"/>
  <c r="B38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B39" i="1"/>
  <c r="B46" s="1"/>
  <c r="C39"/>
  <c r="C46" s="1"/>
  <c r="B45"/>
  <c r="C58"/>
  <c r="D58"/>
  <c r="B58"/>
  <c r="D39"/>
  <c r="D46" s="1"/>
  <c r="D45" l="1"/>
  <c r="C45"/>
  <c r="B60" i="6" l="1"/>
  <c r="B60" i="7"/>
  <c r="C2"/>
  <c r="C2" i="6"/>
  <c r="C2" i="2"/>
  <c r="B59" i="6" l="1"/>
  <c r="C59" s="1"/>
  <c r="B58"/>
  <c r="C58" s="1"/>
  <c r="C60"/>
  <c r="B56"/>
  <c r="C56" s="1"/>
  <c r="D37" i="1" s="1"/>
  <c r="B56" i="7"/>
  <c r="C56" s="1"/>
  <c r="B61"/>
  <c r="C61" s="1"/>
  <c r="B59"/>
  <c r="C59" s="1"/>
  <c r="C60"/>
  <c r="C3" i="6"/>
  <c r="B57" i="7"/>
  <c r="C57" s="1"/>
  <c r="C37" i="1" s="1"/>
  <c r="B58" i="7"/>
  <c r="C58" s="1"/>
  <c r="C3"/>
  <c r="B61" i="6"/>
  <c r="C61" s="1"/>
  <c r="B57"/>
  <c r="C57" s="1"/>
  <c r="C4" l="1"/>
  <c r="C5"/>
  <c r="C4" i="7"/>
  <c r="B61" i="2"/>
  <c r="C61" s="1"/>
  <c r="B60"/>
  <c r="C60" s="1"/>
  <c r="B59"/>
  <c r="C59" s="1"/>
  <c r="B58"/>
  <c r="C58" s="1"/>
  <c r="B57"/>
  <c r="C57" s="1"/>
  <c r="B56"/>
  <c r="C56" s="1"/>
  <c r="A3"/>
  <c r="B37" i="1" l="1"/>
  <c r="B47"/>
  <c r="B48"/>
  <c r="C5" i="7"/>
  <c r="C6" i="6"/>
  <c r="A4" i="2"/>
  <c r="C3"/>
  <c r="D59" i="1" l="1"/>
  <c r="D47"/>
  <c r="D48"/>
  <c r="C59"/>
  <c r="C47"/>
  <c r="C48"/>
  <c r="B49"/>
  <c r="B51" s="1"/>
  <c r="D60"/>
  <c r="B3" i="6"/>
  <c r="B2"/>
  <c r="B4"/>
  <c r="B5"/>
  <c r="B6"/>
  <c r="B7"/>
  <c r="C60" i="1"/>
  <c r="B3" i="7"/>
  <c r="B2"/>
  <c r="B4"/>
  <c r="B5"/>
  <c r="B6"/>
  <c r="B7"/>
  <c r="B8" i="6"/>
  <c r="B9"/>
  <c r="B8" i="7"/>
  <c r="C6"/>
  <c r="C7" i="6"/>
  <c r="A5" i="2"/>
  <c r="C4"/>
  <c r="B22" i="1"/>
  <c r="B23" s="1"/>
  <c r="B24" s="1"/>
  <c r="D49" l="1"/>
  <c r="D51" s="1"/>
  <c r="C49"/>
  <c r="C51" s="1"/>
  <c r="B10" i="6"/>
  <c r="B9" i="7"/>
  <c r="C7"/>
  <c r="C8" i="6"/>
  <c r="A6" i="2"/>
  <c r="C5"/>
  <c r="B11" i="6" l="1"/>
  <c r="B10" i="7"/>
  <c r="C8"/>
  <c r="C9" i="6"/>
  <c r="A7" i="2"/>
  <c r="C6"/>
  <c r="B12" i="6" l="1"/>
  <c r="B11" i="7"/>
  <c r="C9"/>
  <c r="C10" i="6"/>
  <c r="A8" i="2"/>
  <c r="C7"/>
  <c r="B13" i="6" l="1"/>
  <c r="B12" i="7"/>
  <c r="C10"/>
  <c r="C11" i="6"/>
  <c r="A9" i="2"/>
  <c r="C8"/>
  <c r="B14" i="6" l="1"/>
  <c r="B13" i="7"/>
  <c r="C11"/>
  <c r="C12" i="6"/>
  <c r="A10" i="2"/>
  <c r="C9"/>
  <c r="B15" i="6" l="1"/>
  <c r="B14" i="7"/>
  <c r="C12"/>
  <c r="C13" i="6"/>
  <c r="A11" i="2"/>
  <c r="C10"/>
  <c r="B16" i="6" l="1"/>
  <c r="B15" i="7"/>
  <c r="C13"/>
  <c r="C14" i="6"/>
  <c r="A12" i="2"/>
  <c r="C11"/>
  <c r="B17" i="6" l="1"/>
  <c r="B16" i="7"/>
  <c r="C14"/>
  <c r="C15" i="6"/>
  <c r="A13" i="2"/>
  <c r="C12"/>
  <c r="B18" i="6" l="1"/>
  <c r="B17" i="7"/>
  <c r="C15"/>
  <c r="C16" i="6"/>
  <c r="A14" i="2"/>
  <c r="C13"/>
  <c r="B19" i="6" l="1"/>
  <c r="B18" i="7"/>
  <c r="C16"/>
  <c r="C17" i="6"/>
  <c r="A15" i="2"/>
  <c r="C14"/>
  <c r="B20" i="6" l="1"/>
  <c r="B19" i="7"/>
  <c r="C17"/>
  <c r="C18" i="6"/>
  <c r="A16" i="2"/>
  <c r="C15"/>
  <c r="B21" i="6" l="1"/>
  <c r="B20" i="7"/>
  <c r="C18"/>
  <c r="C19" i="6"/>
  <c r="A17" i="2"/>
  <c r="C16"/>
  <c r="B22" i="6" l="1"/>
  <c r="B21" i="7"/>
  <c r="C19"/>
  <c r="C20" i="6"/>
  <c r="A18" i="2"/>
  <c r="C17"/>
  <c r="B23" i="6" l="1"/>
  <c r="B22" i="7"/>
  <c r="C20"/>
  <c r="C21" i="6"/>
  <c r="A19" i="2"/>
  <c r="C18"/>
  <c r="B24" i="6" l="1"/>
  <c r="B23" i="7"/>
  <c r="C21"/>
  <c r="C22" i="6"/>
  <c r="A20" i="2"/>
  <c r="C19"/>
  <c r="B25" i="6" l="1"/>
  <c r="B24" i="7"/>
  <c r="C22"/>
  <c r="C23" i="6"/>
  <c r="A21" i="2"/>
  <c r="C20"/>
  <c r="B26" i="6" l="1"/>
  <c r="B25" i="7"/>
  <c r="C23"/>
  <c r="C24" i="6"/>
  <c r="A22" i="2"/>
  <c r="C21"/>
  <c r="B27" i="6" l="1"/>
  <c r="B26" i="7"/>
  <c r="C24"/>
  <c r="C25" i="6"/>
  <c r="A23" i="2"/>
  <c r="C22"/>
  <c r="B28" i="6" l="1"/>
  <c r="B27" i="7"/>
  <c r="C25"/>
  <c r="C26" i="6"/>
  <c r="A24" i="2"/>
  <c r="C23"/>
  <c r="B29" i="6" l="1"/>
  <c r="B28" i="7"/>
  <c r="C26"/>
  <c r="C27" i="6"/>
  <c r="A25" i="2"/>
  <c r="C24"/>
  <c r="B30" i="6" l="1"/>
  <c r="B29" i="7"/>
  <c r="C27"/>
  <c r="C28" i="6"/>
  <c r="A26" i="2"/>
  <c r="C25"/>
  <c r="B31" i="6" l="1"/>
  <c r="B30" i="7"/>
  <c r="C28"/>
  <c r="C29" i="6"/>
  <c r="A27" i="2"/>
  <c r="C26"/>
  <c r="B32" i="6" l="1"/>
  <c r="B31" i="7"/>
  <c r="C29"/>
  <c r="C30" i="6"/>
  <c r="A28" i="2"/>
  <c r="C27"/>
  <c r="B33" i="6" l="1"/>
  <c r="B32" i="7"/>
  <c r="C30"/>
  <c r="C31" i="6"/>
  <c r="A29" i="2"/>
  <c r="C28"/>
  <c r="B34" i="6" l="1"/>
  <c r="B33" i="7"/>
  <c r="C31"/>
  <c r="C32" i="6"/>
  <c r="A30" i="2"/>
  <c r="C29"/>
  <c r="B35" i="6" l="1"/>
  <c r="B34" i="7"/>
  <c r="C32"/>
  <c r="C33" i="6"/>
  <c r="A31" i="2"/>
  <c r="C30"/>
  <c r="B36" i="6" l="1"/>
  <c r="B35" i="7"/>
  <c r="C33"/>
  <c r="C34" i="6"/>
  <c r="A32" i="2"/>
  <c r="C31"/>
  <c r="B37" i="6" l="1"/>
  <c r="B36" i="7"/>
  <c r="C34"/>
  <c r="C35" i="6"/>
  <c r="A33" i="2"/>
  <c r="C32"/>
  <c r="B38" i="6" l="1"/>
  <c r="B37" i="7"/>
  <c r="C35"/>
  <c r="C36" i="6"/>
  <c r="A34" i="2"/>
  <c r="C33"/>
  <c r="B39" i="6" l="1"/>
  <c r="B38" i="7"/>
  <c r="C36"/>
  <c r="C37" i="6"/>
  <c r="A35" i="2"/>
  <c r="C34"/>
  <c r="B40" i="6" l="1"/>
  <c r="B39" i="7"/>
  <c r="C37"/>
  <c r="C38" i="6"/>
  <c r="A36" i="2"/>
  <c r="C35"/>
  <c r="B41" i="6" l="1"/>
  <c r="B40" i="7"/>
  <c r="C38"/>
  <c r="C39" i="6"/>
  <c r="A37" i="2"/>
  <c r="C36"/>
  <c r="B42" i="6" l="1"/>
  <c r="B41" i="7"/>
  <c r="C39"/>
  <c r="C40" i="6"/>
  <c r="A38" i="2"/>
  <c r="C37"/>
  <c r="B43" i="6" l="1"/>
  <c r="B42" i="7"/>
  <c r="C40"/>
  <c r="C41" i="6"/>
  <c r="A39" i="2"/>
  <c r="C38"/>
  <c r="B44" i="6" l="1"/>
  <c r="B43" i="7"/>
  <c r="C41"/>
  <c r="C42" i="6"/>
  <c r="A40" i="2"/>
  <c r="C39"/>
  <c r="B45" i="6" l="1"/>
  <c r="B44" i="7"/>
  <c r="C42"/>
  <c r="C43" i="6"/>
  <c r="A41" i="2"/>
  <c r="C40"/>
  <c r="B46" i="6" l="1"/>
  <c r="B45" i="7"/>
  <c r="C43"/>
  <c r="C44" i="6"/>
  <c r="A42" i="2"/>
  <c r="C41"/>
  <c r="B47" i="6" l="1"/>
  <c r="B46" i="7"/>
  <c r="C44"/>
  <c r="C45" i="6"/>
  <c r="A43" i="2"/>
  <c r="C42"/>
  <c r="B48" i="6" l="1"/>
  <c r="B47" i="7"/>
  <c r="C45"/>
  <c r="C46" i="6"/>
  <c r="A44" i="2"/>
  <c r="C43"/>
  <c r="B49" i="6" l="1"/>
  <c r="B48" i="7"/>
  <c r="C46"/>
  <c r="C47" i="6"/>
  <c r="A45" i="2"/>
  <c r="C44"/>
  <c r="B50" i="6" l="1"/>
  <c r="B49" i="7"/>
  <c r="C47"/>
  <c r="C48" i="6"/>
  <c r="A46" i="2"/>
  <c r="C45"/>
  <c r="B52" i="6" l="1"/>
  <c r="B51"/>
  <c r="B50" i="7"/>
  <c r="C48"/>
  <c r="C49" i="6"/>
  <c r="A47" i="2"/>
  <c r="C46"/>
  <c r="B52" i="7" l="1"/>
  <c r="B51"/>
  <c r="C49"/>
  <c r="C50" i="6"/>
  <c r="A48" i="2"/>
  <c r="C47"/>
  <c r="C50" i="7" l="1"/>
  <c r="C51" i="6"/>
  <c r="A49" i="2"/>
  <c r="C48"/>
  <c r="C51" i="7" l="1"/>
  <c r="C52" i="6"/>
  <c r="A50" i="2"/>
  <c r="C49"/>
  <c r="B59" i="1"/>
  <c r="B60" l="1"/>
  <c r="B2" i="2"/>
  <c r="B49"/>
  <c r="B5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C52" i="7"/>
  <c r="A51" i="2"/>
  <c r="B51" s="1"/>
  <c r="C50"/>
  <c r="A52" l="1"/>
  <c r="B52" s="1"/>
  <c r="C51"/>
  <c r="C52" l="1"/>
</calcChain>
</file>

<file path=xl/sharedStrings.xml><?xml version="1.0" encoding="utf-8"?>
<sst xmlns="http://schemas.openxmlformats.org/spreadsheetml/2006/main" count="120" uniqueCount="93">
  <si>
    <t>W =</t>
  </si>
  <si>
    <t>RH =</t>
  </si>
  <si>
    <t>m =</t>
  </si>
  <si>
    <t>w/b =</t>
  </si>
  <si>
    <t>model 1</t>
  </si>
  <si>
    <t>model 2</t>
  </si>
  <si>
    <t>model 3</t>
  </si>
  <si>
    <t>model 4</t>
  </si>
  <si>
    <t>model 5</t>
  </si>
  <si>
    <t>model 6</t>
  </si>
  <si>
    <t>fC</t>
  </si>
  <si>
    <t>x [m]</t>
  </si>
  <si>
    <t>x [mm]</t>
  </si>
  <si>
    <t>Doc. Ing. Vít Šmilauer, Ph.D., Ing. Karel Pohl, Ph.D.</t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</si>
  <si>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</si>
  <si>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</si>
  <si>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</si>
  <si>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Efficiency factor (k-value) for carbonation. GGBFS=0.6, fly ash class C=0.7, fly ash class F=0.5, silica fume=0.3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</si>
  <si>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  <charset val="238"/>
      </rPr>
      <t xml:space="preserve"> =</t>
    </r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</si>
  <si>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charset val="238"/>
      </rPr>
      <t xml:space="preserve"> =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</si>
  <si>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charset val="238"/>
      </rPr>
      <t xml:space="preserve"> =</t>
    </r>
  </si>
  <si>
    <r>
      <t>Volumetric fraction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in surrounding environment (3.9e-4 for outdoor air) [-]</t>
    </r>
  </si>
  <si>
    <r>
      <t>c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  <charset val="238"/>
      </rPr>
      <t xml:space="preserve"> =</t>
    </r>
  </si>
  <si>
    <r>
      <t>w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  <charset val="238"/>
      </rPr>
      <t xml:space="preserve"> =</t>
    </r>
  </si>
  <si>
    <t>Crack width [mm]</t>
  </si>
  <si>
    <t>Concrete cover above reinforcement [mm]</t>
  </si>
  <si>
    <r>
      <t>Portland cement content (=mass of CEM I, only clinker portion for CEM II and higher) 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</si>
  <si>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SCM amount (GGBFS, fly ash, silica fume) 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</si>
  <si>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Water in fresh concrete 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</si>
  <si>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Cement density 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</si>
  <si>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Water density 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</si>
  <si>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D</t>
    </r>
    <r>
      <rPr>
        <vertAlign val="subscript"/>
        <sz val="11"/>
        <color theme="1"/>
        <rFont val="Calibri"/>
        <family val="2"/>
        <scheme val="minor"/>
      </rPr>
      <t>eCO2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</si>
  <si>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Effective diffusivity for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/s]</t>
    </r>
  </si>
  <si>
    <t>Help parameter</t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</si>
  <si>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</si>
  <si>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</si>
  <si>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Induction time for reinforcement corrosion on a cracked concrete [year]</t>
  </si>
  <si>
    <t>Chloride ingress</t>
  </si>
  <si>
    <t>Time units</t>
  </si>
  <si>
    <t>Concrete carbonation - induction time</t>
  </si>
  <si>
    <r>
      <t>Reference diffusion coefficient (only type 0)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/s]</t>
    </r>
  </si>
  <si>
    <r>
      <t>Reference time corresponding to D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charset val="238"/>
        <scheme val="minor"/>
      </rPr>
      <t xml:space="preserve"> (only type 0) [day, year] </t>
    </r>
  </si>
  <si>
    <r>
      <t>C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  <charset val="238"/>
      </rPr>
      <t xml:space="preserve"> =</t>
    </r>
  </si>
  <si>
    <t>Decay rate or age factor (OPC=0.37, OPC+slag=0.60, OPC+fly ash=0.93) [-]</t>
  </si>
  <si>
    <t>[Day=1, year=2] (year = 365,24219 days)</t>
  </si>
  <si>
    <t>Water-binder mass ratio, i.e. W/(C+P) [-]</t>
  </si>
  <si>
    <r>
      <t>See right figures for cement type, type 0 requires manual entry of D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charset val="238"/>
        <scheme val="minor"/>
      </rPr>
      <t xml:space="preserve"> a t</t>
    </r>
    <r>
      <rPr>
        <vertAlign val="subscript"/>
        <sz val="11"/>
        <color theme="1"/>
        <rFont val="Calibri"/>
        <family val="2"/>
        <scheme val="minor"/>
      </rPr>
      <t>ref</t>
    </r>
  </si>
  <si>
    <r>
      <t>Reference diffusivity for cement types 1-6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/s]</t>
    </r>
  </si>
  <si>
    <r>
      <t>D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</si>
  <si>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C</t>
    </r>
    <r>
      <rPr>
        <vertAlign val="subscript"/>
        <sz val="11"/>
        <color theme="1"/>
        <rFont val="Calibri"/>
        <family val="2"/>
      </rPr>
      <t>s, limit</t>
    </r>
    <r>
      <rPr>
        <sz val="11"/>
        <color theme="1"/>
        <rFont val="Calibri"/>
        <family val="2"/>
        <charset val="238"/>
      </rPr>
      <t xml:space="preserve"> =</t>
    </r>
  </si>
  <si>
    <t>a) Determination of induction time</t>
  </si>
  <si>
    <t xml:space="preserve">Maximum depth from surface [mm] </t>
  </si>
  <si>
    <t>[day, year]</t>
  </si>
  <si>
    <r>
      <t>t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</si>
  <si>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Reference time [s]</t>
  </si>
  <si>
    <r>
      <t>Mean diffusion coefficient at time t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/s]</t>
    </r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</si>
  <si>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w </t>
    </r>
    <r>
      <rPr>
        <sz val="11"/>
        <color theme="1"/>
        <rFont val="Calibri"/>
        <family val="2"/>
        <charset val="238"/>
        <scheme val="minor"/>
      </rPr>
      <t>=</t>
    </r>
  </si>
  <si>
    <t>Acceleration due to crack</t>
  </si>
  <si>
    <r>
      <t>D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charset val="238"/>
        <scheme val="minor"/>
      </rPr>
      <t>(t) =</t>
    </r>
  </si>
  <si>
    <t>Exposure time t =</t>
  </si>
  <si>
    <t>C(d,t)=</t>
  </si>
  <si>
    <t>Exposure time, t =</t>
  </si>
  <si>
    <t>Maximum depth, d =</t>
  </si>
  <si>
    <t>Exposure time [s]</t>
  </si>
  <si>
    <t>DmFwT =</t>
  </si>
  <si>
    <t>inverseERF = SQRT(GAMMAINV(x,0.5,1))</t>
  </si>
  <si>
    <t>Induction time,1 =</t>
  </si>
  <si>
    <t>[s]</t>
  </si>
  <si>
    <t>Induction time =</t>
  </si>
  <si>
    <t>[Day, year]</t>
  </si>
  <si>
    <t>Time when diffusion becomes constant [30 years in second]</t>
  </si>
  <si>
    <r>
      <t>If smaller than 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charset val="238"/>
        <scheme val="minor"/>
      </rPr>
      <t>[s]</t>
    </r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</si>
  <si>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</si>
  <si>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Induction time,2 =</t>
  </si>
  <si>
    <r>
      <t>If greater than 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charset val="238"/>
        <scheme val="minor"/>
      </rPr>
      <t>[s]</t>
    </r>
  </si>
  <si>
    <t>Acompanying manual describes references, used equations and default values</t>
  </si>
  <si>
    <t>Apparent diffusivity at 10 years for various cement types</t>
  </si>
  <si>
    <t>b) Concentration profile</t>
  </si>
  <si>
    <r>
      <t xml:space="preserve">Decay rate </t>
    </r>
    <r>
      <rPr>
        <b/>
        <i/>
        <sz val="16"/>
        <color theme="1"/>
        <rFont val="Calibri"/>
        <family val="2"/>
        <scheme val="minor"/>
      </rPr>
      <t>m</t>
    </r>
    <r>
      <rPr>
        <b/>
        <sz val="16"/>
        <color theme="1"/>
        <rFont val="Calibri"/>
        <family val="2"/>
        <charset val="238"/>
        <scheme val="minor"/>
      </rPr>
      <t xml:space="preserve"> according to DuraCrete model</t>
    </r>
  </si>
  <si>
    <t>Cement type (0-6) =</t>
  </si>
  <si>
    <r>
      <t xml:space="preserve">Concentration at depth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at time </t>
    </r>
    <r>
      <rPr>
        <i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charset val="238"/>
        <scheme val="minor"/>
      </rPr>
      <t>[%]</t>
    </r>
  </si>
  <si>
    <t>Authors</t>
  </si>
  <si>
    <t>Czech Technical University in Prague, Faculty of Civil Engineering, Department of Mechanics, Thákurova 7, 166 29, Prague 6, 2014</t>
  </si>
  <si>
    <r>
      <t>D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charset val="238"/>
        <scheme val="minor"/>
      </rPr>
      <t xml:space="preserve">  (only for type 0) =</t>
    </r>
  </si>
  <si>
    <r>
      <t>t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charset val="238"/>
        <scheme val="minor"/>
      </rPr>
      <t xml:space="preserve">  (only for type 0) =</t>
    </r>
  </si>
  <si>
    <t>The support from Competence Centres of the Technology Agency of the Czech Republic (TACR) under the project “Centre for Effective and Sustainable Transport Infrastructure” TE01020168 is greatly acknowledged</t>
  </si>
  <si>
    <t>Da (10 yr) [m2/s]</t>
  </si>
  <si>
    <t>Dref [m2/s]</t>
  </si>
  <si>
    <t>Concentration chloride mass/binder mass on the surface (submerged=10.3%, spray=1.0%)  [%]</t>
  </si>
  <si>
    <t>CarboChlorCon 1.0 - software for concrete carbonation and chloride ingress</t>
  </si>
  <si>
    <t>Questions, comments to vit.smilauer@fsv.cvut.cz, November 2014</t>
  </si>
  <si>
    <t>Limit concentration for reinforcement corrosion (standard 0.6%)[%]</t>
  </si>
  <si>
    <t>Relative humidity of air [0.5-1]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</si>
</sst>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Fill="1"/>
    <xf numFmtId="0" fontId="15" fillId="0" borderId="0" xfId="0" applyFont="1"/>
    <xf numFmtId="0" fontId="16" fillId="0" borderId="0" xfId="0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1" fontId="0" fillId="2" borderId="3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11" fontId="0" fillId="4" borderId="8" xfId="0" applyNumberFormat="1" applyFill="1" applyBorder="1" applyAlignment="1">
      <alignment horizontal="left"/>
    </xf>
    <xf numFmtId="11" fontId="7" fillId="4" borderId="9" xfId="0" applyNumberFormat="1" applyFont="1" applyFill="1" applyBorder="1" applyAlignment="1">
      <alignment horizontal="left"/>
    </xf>
    <xf numFmtId="11" fontId="7" fillId="4" borderId="10" xfId="0" applyNumberFormat="1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64" fontId="17" fillId="3" borderId="1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cs-CZ"/>
            </a:pPr>
            <a:r>
              <a:rPr lang="en-US" sz="1800" b="1" i="0" baseline="0">
                <a:effectLst/>
              </a:rPr>
              <a:t>Chloride profile in exposed concrete</a:t>
            </a:r>
            <a:endParaRPr lang="cs-CZ">
              <a:effectLst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0380903894455"/>
          <c:y val="0.1236120359797445"/>
          <c:w val="0.87152477169631715"/>
          <c:h val="0.72893909798601064"/>
        </c:manualLayout>
      </c:layout>
      <c:scatterChart>
        <c:scatterStyle val="smoothMarker"/>
        <c:ser>
          <c:idx val="0"/>
          <c:order val="0"/>
          <c:tx>
            <c:v>Column B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Column_B!$C$2:$C$52</c:f>
              <c:numCache>
                <c:formatCode>General</c:formatCode>
                <c:ptCount val="5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4.8000000000000007</c:v>
                </c:pt>
                <c:pt idx="7">
                  <c:v>5.6000000000000005</c:v>
                </c:pt>
                <c:pt idx="8">
                  <c:v>6.4000000000000012</c:v>
                </c:pt>
                <c:pt idx="9">
                  <c:v>7.200000000000002</c:v>
                </c:pt>
                <c:pt idx="10">
                  <c:v>8.0000000000000018</c:v>
                </c:pt>
                <c:pt idx="11">
                  <c:v>8.8000000000000025</c:v>
                </c:pt>
                <c:pt idx="12">
                  <c:v>9.6000000000000032</c:v>
                </c:pt>
                <c:pt idx="13">
                  <c:v>10.400000000000002</c:v>
                </c:pt>
                <c:pt idx="14">
                  <c:v>11.200000000000003</c:v>
                </c:pt>
                <c:pt idx="15">
                  <c:v>12.000000000000004</c:v>
                </c:pt>
                <c:pt idx="16">
                  <c:v>12.800000000000004</c:v>
                </c:pt>
                <c:pt idx="17">
                  <c:v>13.600000000000005</c:v>
                </c:pt>
                <c:pt idx="18">
                  <c:v>14.400000000000006</c:v>
                </c:pt>
                <c:pt idx="19">
                  <c:v>15.200000000000005</c:v>
                </c:pt>
                <c:pt idx="20">
                  <c:v>16.000000000000004</c:v>
                </c:pt>
                <c:pt idx="21">
                  <c:v>16.8</c:v>
                </c:pt>
                <c:pt idx="22">
                  <c:v>17.600000000000001</c:v>
                </c:pt>
                <c:pt idx="23">
                  <c:v>18.399999999999999</c:v>
                </c:pt>
                <c:pt idx="24">
                  <c:v>19.2</c:v>
                </c:pt>
                <c:pt idx="25">
                  <c:v>19.999999999999996</c:v>
                </c:pt>
                <c:pt idx="26">
                  <c:v>20.799999999999997</c:v>
                </c:pt>
                <c:pt idx="27">
                  <c:v>21.599999999999994</c:v>
                </c:pt>
                <c:pt idx="28">
                  <c:v>22.399999999999991</c:v>
                </c:pt>
                <c:pt idx="29">
                  <c:v>23.199999999999992</c:v>
                </c:pt>
                <c:pt idx="30">
                  <c:v>23.999999999999989</c:v>
                </c:pt>
                <c:pt idx="31">
                  <c:v>24.79999999999999</c:v>
                </c:pt>
                <c:pt idx="32">
                  <c:v>25.599999999999987</c:v>
                </c:pt>
                <c:pt idx="33">
                  <c:v>26.399999999999984</c:v>
                </c:pt>
                <c:pt idx="34">
                  <c:v>27.199999999999985</c:v>
                </c:pt>
                <c:pt idx="35">
                  <c:v>27.999999999999982</c:v>
                </c:pt>
                <c:pt idx="36">
                  <c:v>28.799999999999983</c:v>
                </c:pt>
                <c:pt idx="37">
                  <c:v>29.59999999999998</c:v>
                </c:pt>
                <c:pt idx="38">
                  <c:v>30.399999999999981</c:v>
                </c:pt>
                <c:pt idx="39">
                  <c:v>31.199999999999978</c:v>
                </c:pt>
                <c:pt idx="40">
                  <c:v>31.999999999999979</c:v>
                </c:pt>
                <c:pt idx="41">
                  <c:v>32.799999999999983</c:v>
                </c:pt>
                <c:pt idx="42">
                  <c:v>33.599999999999987</c:v>
                </c:pt>
                <c:pt idx="43">
                  <c:v>34.399999999999984</c:v>
                </c:pt>
                <c:pt idx="44">
                  <c:v>35.199999999999989</c:v>
                </c:pt>
                <c:pt idx="45">
                  <c:v>35.999999999999993</c:v>
                </c:pt>
                <c:pt idx="46">
                  <c:v>36.79999999999999</c:v>
                </c:pt>
                <c:pt idx="47">
                  <c:v>37.599999999999994</c:v>
                </c:pt>
                <c:pt idx="48">
                  <c:v>38.4</c:v>
                </c:pt>
                <c:pt idx="49">
                  <c:v>39.199999999999996</c:v>
                </c:pt>
                <c:pt idx="50">
                  <c:v>40</c:v>
                </c:pt>
              </c:numCache>
            </c:numRef>
          </c:xVal>
          <c:yVal>
            <c:numRef>
              <c:f>Column_B!$B$2:$B$52</c:f>
              <c:numCache>
                <c:formatCode>General</c:formatCode>
                <c:ptCount val="51"/>
                <c:pt idx="0">
                  <c:v>10</c:v>
                </c:pt>
                <c:pt idx="1">
                  <c:v>9.4967861864235967</c:v>
                </c:pt>
                <c:pt idx="2">
                  <c:v>8.9955719839104926</c:v>
                </c:pt>
                <c:pt idx="3">
                  <c:v>8.4983331973888756</c:v>
                </c:pt>
                <c:pt idx="4">
                  <c:v>8.0069984923501654</c:v>
                </c:pt>
                <c:pt idx="5">
                  <c:v>7.5234269917919931</c:v>
                </c:pt>
                <c:pt idx="6">
                  <c:v>7.0493872269174673</c:v>
                </c:pt>
                <c:pt idx="7">
                  <c:v>6.5865378769176832</c:v>
                </c:pt>
                <c:pt idx="8">
                  <c:v>6.1364105752761757</c:v>
                </c:pt>
                <c:pt idx="9">
                  <c:v>5.7003951202499774</c:v>
                </c:pt>
                <c:pt idx="10">
                  <c:v>5.2797273835455618</c:v>
                </c:pt>
                <c:pt idx="11">
                  <c:v>4.8754798843523499</c:v>
                </c:pt>
                <c:pt idx="12">
                  <c:v>4.4885553450574758</c:v>
                </c:pt>
                <c:pt idx="13">
                  <c:v>4.1196829675142617</c:v>
                </c:pt>
                <c:pt idx="14">
                  <c:v>3.7694180364569041</c:v>
                </c:pt>
                <c:pt idx="15">
                  <c:v>3.4381435238713043</c:v>
                </c:pt>
                <c:pt idx="16">
                  <c:v>3.1260773204985304</c:v>
                </c:pt>
                <c:pt idx="17">
                  <c:v>2.8332686918410555</c:v>
                </c:pt>
                <c:pt idx="18">
                  <c:v>2.5596232884769954</c:v>
                </c:pt>
                <c:pt idx="19">
                  <c:v>2.3049036672885572</c:v>
                </c:pt>
                <c:pt idx="20">
                  <c:v>2.0687429870974605</c:v>
                </c:pt>
                <c:pt idx="21">
                  <c:v>1.8506586900431476</c:v>
                </c:pt>
                <c:pt idx="22">
                  <c:v>1.650068082342212</c:v>
                </c:pt>
                <c:pt idx="23">
                  <c:v>1.4663004144345471</c:v>
                </c:pt>
                <c:pt idx="24">
                  <c:v>1.2986140761618803</c:v>
                </c:pt>
                <c:pt idx="25">
                  <c:v>1.1462098112625263</c:v>
                </c:pt>
                <c:pt idx="26">
                  <c:v>1.0082452960796751</c:v>
                </c:pt>
                <c:pt idx="27">
                  <c:v>0.88384854850760197</c:v>
                </c:pt>
                <c:pt idx="28">
                  <c:v>0.77213124474849848</c:v>
                </c:pt>
                <c:pt idx="29">
                  <c:v>0.67219956204312981</c:v>
                </c:pt>
                <c:pt idx="30">
                  <c:v>0.58316528472341811</c:v>
                </c:pt>
                <c:pt idx="31">
                  <c:v>0.50415544076174434</c:v>
                </c:pt>
                <c:pt idx="32">
                  <c:v>0.43431984948802849</c:v>
                </c:pt>
                <c:pt idx="33">
                  <c:v>0.37283862990139083</c:v>
                </c:pt>
                <c:pt idx="34">
                  <c:v>0.31892734192208394</c:v>
                </c:pt>
                <c:pt idx="35">
                  <c:v>0.27184182944948843</c:v>
                </c:pt>
                <c:pt idx="36">
                  <c:v>0.23088130219556136</c:v>
                </c:pt>
                <c:pt idx="37">
                  <c:v>0.195390556375864</c:v>
                </c:pt>
                <c:pt idx="38">
                  <c:v>0.16476138851214017</c:v>
                </c:pt>
                <c:pt idx="39">
                  <c:v>0.13843290074236236</c:v>
                </c:pt>
                <c:pt idx="40">
                  <c:v>0.11589113515484084</c:v>
                </c:pt>
                <c:pt idx="41">
                  <c:v>9.6668166585420767E-2</c:v>
                </c:pt>
                <c:pt idx="42">
                  <c:v>8.0340511750740529E-2</c:v>
                </c:pt>
                <c:pt idx="43">
                  <c:v>6.6527194404741863E-2</c:v>
                </c:pt>
                <c:pt idx="44">
                  <c:v>5.4887465219950471E-2</c:v>
                </c:pt>
                <c:pt idx="45">
                  <c:v>4.5118268409397588E-2</c:v>
                </c:pt>
                <c:pt idx="46">
                  <c:v>3.6951589568704479E-2</c:v>
                </c:pt>
                <c:pt idx="47">
                  <c:v>3.0151683475444502E-2</c:v>
                </c:pt>
                <c:pt idx="48">
                  <c:v>2.4512305922900213E-2</c:v>
                </c:pt>
                <c:pt idx="49">
                  <c:v>1.9853975997787821E-2</c:v>
                </c:pt>
                <c:pt idx="50">
                  <c:v>1.6021318099609383E-2</c:v>
                </c:pt>
              </c:numCache>
            </c:numRef>
          </c:yVal>
          <c:smooth val="1"/>
        </c:ser>
        <c:ser>
          <c:idx val="1"/>
          <c:order val="1"/>
          <c:tx>
            <c:v>Column C</c:v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Column_C!$C$2:$C$52</c:f>
              <c:numCache>
                <c:formatCode>General</c:formatCode>
                <c:ptCount val="5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4.8000000000000007</c:v>
                </c:pt>
                <c:pt idx="7">
                  <c:v>5.6000000000000005</c:v>
                </c:pt>
                <c:pt idx="8">
                  <c:v>6.4000000000000012</c:v>
                </c:pt>
                <c:pt idx="9">
                  <c:v>7.200000000000002</c:v>
                </c:pt>
                <c:pt idx="10">
                  <c:v>8.0000000000000018</c:v>
                </c:pt>
                <c:pt idx="11">
                  <c:v>8.8000000000000025</c:v>
                </c:pt>
                <c:pt idx="12">
                  <c:v>9.6000000000000032</c:v>
                </c:pt>
                <c:pt idx="13">
                  <c:v>10.400000000000002</c:v>
                </c:pt>
                <c:pt idx="14">
                  <c:v>11.200000000000003</c:v>
                </c:pt>
                <c:pt idx="15">
                  <c:v>12.000000000000004</c:v>
                </c:pt>
                <c:pt idx="16">
                  <c:v>12.800000000000004</c:v>
                </c:pt>
                <c:pt idx="17">
                  <c:v>13.600000000000005</c:v>
                </c:pt>
                <c:pt idx="18">
                  <c:v>14.400000000000006</c:v>
                </c:pt>
                <c:pt idx="19">
                  <c:v>15.200000000000005</c:v>
                </c:pt>
                <c:pt idx="20">
                  <c:v>16.000000000000004</c:v>
                </c:pt>
                <c:pt idx="21">
                  <c:v>16.8</c:v>
                </c:pt>
                <c:pt idx="22">
                  <c:v>17.600000000000001</c:v>
                </c:pt>
                <c:pt idx="23">
                  <c:v>18.399999999999999</c:v>
                </c:pt>
                <c:pt idx="24">
                  <c:v>19.2</c:v>
                </c:pt>
                <c:pt idx="25">
                  <c:v>19.999999999999996</c:v>
                </c:pt>
                <c:pt idx="26">
                  <c:v>20.799999999999997</c:v>
                </c:pt>
                <c:pt idx="27">
                  <c:v>21.599999999999994</c:v>
                </c:pt>
                <c:pt idx="28">
                  <c:v>22.399999999999991</c:v>
                </c:pt>
                <c:pt idx="29">
                  <c:v>23.199999999999992</c:v>
                </c:pt>
                <c:pt idx="30">
                  <c:v>23.999999999999989</c:v>
                </c:pt>
                <c:pt idx="31">
                  <c:v>24.79999999999999</c:v>
                </c:pt>
                <c:pt idx="32">
                  <c:v>25.599999999999987</c:v>
                </c:pt>
                <c:pt idx="33">
                  <c:v>26.399999999999984</c:v>
                </c:pt>
                <c:pt idx="34">
                  <c:v>27.199999999999985</c:v>
                </c:pt>
                <c:pt idx="35">
                  <c:v>27.999999999999982</c:v>
                </c:pt>
                <c:pt idx="36">
                  <c:v>28.799999999999983</c:v>
                </c:pt>
                <c:pt idx="37">
                  <c:v>29.59999999999998</c:v>
                </c:pt>
                <c:pt idx="38">
                  <c:v>30.399999999999981</c:v>
                </c:pt>
                <c:pt idx="39">
                  <c:v>31.199999999999978</c:v>
                </c:pt>
                <c:pt idx="40">
                  <c:v>31.999999999999979</c:v>
                </c:pt>
                <c:pt idx="41">
                  <c:v>32.799999999999983</c:v>
                </c:pt>
                <c:pt idx="42">
                  <c:v>33.599999999999987</c:v>
                </c:pt>
                <c:pt idx="43">
                  <c:v>34.399999999999984</c:v>
                </c:pt>
                <c:pt idx="44">
                  <c:v>35.199999999999989</c:v>
                </c:pt>
                <c:pt idx="45">
                  <c:v>35.999999999999993</c:v>
                </c:pt>
                <c:pt idx="46">
                  <c:v>36.79999999999999</c:v>
                </c:pt>
                <c:pt idx="47">
                  <c:v>37.599999999999994</c:v>
                </c:pt>
                <c:pt idx="48">
                  <c:v>38.4</c:v>
                </c:pt>
                <c:pt idx="49">
                  <c:v>39.199999999999996</c:v>
                </c:pt>
                <c:pt idx="50">
                  <c:v>40</c:v>
                </c:pt>
              </c:numCache>
            </c:numRef>
          </c:xVal>
          <c:yVal>
            <c:numRef>
              <c:f>Column_C!$B$2:$B$52</c:f>
              <c:numCache>
                <c:formatCode>General</c:formatCode>
                <c:ptCount val="51"/>
                <c:pt idx="0">
                  <c:v>10</c:v>
                </c:pt>
                <c:pt idx="1">
                  <c:v>9.7380432792348763</c:v>
                </c:pt>
                <c:pt idx="2">
                  <c:v>9.4763688458479489</c:v>
                </c:pt>
                <c:pt idx="3">
                  <c:v>9.2152580749796655</c:v>
                </c:pt>
                <c:pt idx="4">
                  <c:v>8.9549905222191164</c:v>
                </c:pt>
                <c:pt idx="5">
                  <c:v>8.6958430263657931</c:v>
                </c:pt>
                <c:pt idx="6">
                  <c:v>8.4380888237485294</c:v>
                </c:pt>
                <c:pt idx="7">
                  <c:v>8.1819966908373161</c:v>
                </c:pt>
                <c:pt idx="8">
                  <c:v>7.9278300976971856</c:v>
                </c:pt>
                <c:pt idx="9">
                  <c:v>7.6758463999951134</c:v>
                </c:pt>
                <c:pt idx="10">
                  <c:v>7.4262960593318379</c:v>
                </c:pt>
                <c:pt idx="11">
                  <c:v>7.1794219009538658</c:v>
                </c:pt>
                <c:pt idx="12">
                  <c:v>6.9354583867931723</c:v>
                </c:pt>
                <c:pt idx="13">
                  <c:v>6.6946310243131402</c:v>
                </c:pt>
                <c:pt idx="14">
                  <c:v>6.4571556712422478</c:v>
                </c:pt>
                <c:pt idx="15">
                  <c:v>6.2232380169999875</c:v>
                </c:pt>
                <c:pt idx="16">
                  <c:v>5.9930730602865356</c:v>
                </c:pt>
                <c:pt idx="17">
                  <c:v>5.7668446502194461</c:v>
                </c:pt>
                <c:pt idx="18">
                  <c:v>5.5447250297086921</c:v>
                </c:pt>
                <c:pt idx="19">
                  <c:v>5.3268746500836155</c:v>
                </c:pt>
                <c:pt idx="20">
                  <c:v>5.1134416763405897</c:v>
                </c:pt>
                <c:pt idx="21">
                  <c:v>4.9045618711064058</c:v>
                </c:pt>
                <c:pt idx="22">
                  <c:v>4.7003583934989779</c:v>
                </c:pt>
                <c:pt idx="23">
                  <c:v>4.5009416815591567</c:v>
                </c:pt>
                <c:pt idx="24">
                  <c:v>4.3064093108425938</c:v>
                </c:pt>
                <c:pt idx="25">
                  <c:v>4.1168462502308847</c:v>
                </c:pt>
                <c:pt idx="26">
                  <c:v>3.9323245757016578</c:v>
                </c:pt>
                <c:pt idx="27">
                  <c:v>3.7529037690954778</c:v>
                </c:pt>
                <c:pt idx="28">
                  <c:v>3.5786308276514891</c:v>
                </c:pt>
                <c:pt idx="29">
                  <c:v>3.4095404665149043</c:v>
                </c:pt>
                <c:pt idx="30">
                  <c:v>3.2456553679458091</c:v>
                </c:pt>
                <c:pt idx="31">
                  <c:v>3.0869892667987511</c:v>
                </c:pt>
                <c:pt idx="32">
                  <c:v>2.9335353638255004</c:v>
                </c:pt>
                <c:pt idx="33">
                  <c:v>2.7852858044682827</c:v>
                </c:pt>
                <c:pt idx="34">
                  <c:v>2.6422183832130495</c:v>
                </c:pt>
                <c:pt idx="35">
                  <c:v>2.5043012253353192</c:v>
                </c:pt>
                <c:pt idx="36">
                  <c:v>2.3714911503275959</c:v>
                </c:pt>
                <c:pt idx="37">
                  <c:v>2.2437373777068159</c:v>
                </c:pt>
                <c:pt idx="38">
                  <c:v>2.1209793933118681</c:v>
                </c:pt>
                <c:pt idx="39">
                  <c:v>2.0031497769732862</c:v>
                </c:pt>
                <c:pt idx="40">
                  <c:v>1.8901721345055833</c:v>
                </c:pt>
                <c:pt idx="41">
                  <c:v>1.78196340538885</c:v>
                </c:pt>
                <c:pt idx="42">
                  <c:v>1.6784336575942616</c:v>
                </c:pt>
                <c:pt idx="43">
                  <c:v>1.5794878932227441</c:v>
                </c:pt>
                <c:pt idx="44">
                  <c:v>1.4850247844464948</c:v>
                </c:pt>
                <c:pt idx="45">
                  <c:v>1.394938158815664</c:v>
                </c:pt>
                <c:pt idx="46">
                  <c:v>1.3091183249902971</c:v>
                </c:pt>
                <c:pt idx="47">
                  <c:v>1.2274508483439872</c:v>
                </c:pt>
                <c:pt idx="48">
                  <c:v>1.149818968998837</c:v>
                </c:pt>
                <c:pt idx="49">
                  <c:v>1.0761024159436894</c:v>
                </c:pt>
                <c:pt idx="50">
                  <c:v>1.0061795036362386</c:v>
                </c:pt>
              </c:numCache>
            </c:numRef>
          </c:yVal>
          <c:smooth val="1"/>
        </c:ser>
        <c:ser>
          <c:idx val="2"/>
          <c:order val="2"/>
          <c:tx>
            <c:v>Column D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Column_D!$C$2:$C$52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18.000000000000004</c:v>
                </c:pt>
                <c:pt idx="10">
                  <c:v>20.000000000000004</c:v>
                </c:pt>
                <c:pt idx="11">
                  <c:v>22.000000000000007</c:v>
                </c:pt>
                <c:pt idx="12">
                  <c:v>24.000000000000007</c:v>
                </c:pt>
                <c:pt idx="13">
                  <c:v>26.000000000000011</c:v>
                </c:pt>
                <c:pt idx="14">
                  <c:v>28.000000000000011</c:v>
                </c:pt>
                <c:pt idx="15">
                  <c:v>30.000000000000014</c:v>
                </c:pt>
                <c:pt idx="16">
                  <c:v>32.000000000000014</c:v>
                </c:pt>
                <c:pt idx="17">
                  <c:v>34.000000000000014</c:v>
                </c:pt>
                <c:pt idx="18">
                  <c:v>36.000000000000021</c:v>
                </c:pt>
                <c:pt idx="19">
                  <c:v>38.000000000000021</c:v>
                </c:pt>
                <c:pt idx="20">
                  <c:v>40.000000000000021</c:v>
                </c:pt>
                <c:pt idx="21">
                  <c:v>42.000000000000021</c:v>
                </c:pt>
                <c:pt idx="22">
                  <c:v>44.000000000000028</c:v>
                </c:pt>
                <c:pt idx="23">
                  <c:v>46.000000000000028</c:v>
                </c:pt>
                <c:pt idx="24">
                  <c:v>48.000000000000028</c:v>
                </c:pt>
                <c:pt idx="25">
                  <c:v>50.000000000000028</c:v>
                </c:pt>
                <c:pt idx="26">
                  <c:v>52.000000000000036</c:v>
                </c:pt>
                <c:pt idx="27">
                  <c:v>54.000000000000036</c:v>
                </c:pt>
                <c:pt idx="28">
                  <c:v>56.000000000000036</c:v>
                </c:pt>
                <c:pt idx="29">
                  <c:v>58.000000000000036</c:v>
                </c:pt>
                <c:pt idx="30">
                  <c:v>60.000000000000043</c:v>
                </c:pt>
                <c:pt idx="31">
                  <c:v>62.000000000000043</c:v>
                </c:pt>
                <c:pt idx="32">
                  <c:v>64.000000000000043</c:v>
                </c:pt>
                <c:pt idx="33">
                  <c:v>66.000000000000043</c:v>
                </c:pt>
                <c:pt idx="34">
                  <c:v>68.000000000000043</c:v>
                </c:pt>
                <c:pt idx="35">
                  <c:v>70.000000000000043</c:v>
                </c:pt>
                <c:pt idx="36">
                  <c:v>72.000000000000057</c:v>
                </c:pt>
                <c:pt idx="37">
                  <c:v>74.000000000000057</c:v>
                </c:pt>
                <c:pt idx="38">
                  <c:v>76.000000000000057</c:v>
                </c:pt>
                <c:pt idx="39">
                  <c:v>78.000000000000057</c:v>
                </c:pt>
                <c:pt idx="40">
                  <c:v>80.000000000000057</c:v>
                </c:pt>
                <c:pt idx="41">
                  <c:v>82.000000000000057</c:v>
                </c:pt>
                <c:pt idx="42">
                  <c:v>84.000000000000057</c:v>
                </c:pt>
                <c:pt idx="43">
                  <c:v>86.000000000000057</c:v>
                </c:pt>
                <c:pt idx="44">
                  <c:v>88.000000000000071</c:v>
                </c:pt>
                <c:pt idx="45">
                  <c:v>90.000000000000071</c:v>
                </c:pt>
                <c:pt idx="46">
                  <c:v>92.000000000000071</c:v>
                </c:pt>
                <c:pt idx="47">
                  <c:v>94.000000000000071</c:v>
                </c:pt>
                <c:pt idx="48">
                  <c:v>96.000000000000071</c:v>
                </c:pt>
                <c:pt idx="49">
                  <c:v>98.000000000000071</c:v>
                </c:pt>
                <c:pt idx="50">
                  <c:v>100.00000000000007</c:v>
                </c:pt>
              </c:numCache>
            </c:numRef>
          </c:xVal>
          <c:yVal>
            <c:numRef>
              <c:f>Column_D!$B$2:$B$52</c:f>
              <c:numCache>
                <c:formatCode>General</c:formatCode>
                <c:ptCount val="51"/>
                <c:pt idx="0">
                  <c:v>10.3</c:v>
                </c:pt>
                <c:pt idx="1">
                  <c:v>10.079494732108644</c:v>
                </c:pt>
                <c:pt idx="2">
                  <c:v>9.8591481814789219</c:v>
                </c:pt>
                <c:pt idx="3">
                  <c:v>9.6391187227309096</c:v>
                </c:pt>
                <c:pt idx="4">
                  <c:v>9.4195640464325905</c:v>
                </c:pt>
                <c:pt idx="5">
                  <c:v>9.2006408202005137</c:v>
                </c:pt>
                <c:pt idx="6">
                  <c:v>8.9825043535858313</c:v>
                </c:pt>
                <c:pt idx="7">
                  <c:v>8.7653082655992645</c:v>
                </c:pt>
                <c:pt idx="8">
                  <c:v>8.5492041654524318</c:v>
                </c:pt>
                <c:pt idx="9">
                  <c:v>8.3343413297322471</c:v>
                </c:pt>
                <c:pt idx="10">
                  <c:v>8.1208663965352006</c:v>
                </c:pt>
                <c:pt idx="11">
                  <c:v>7.9089230653718969</c:v>
                </c:pt>
                <c:pt idx="12">
                  <c:v>7.6986518081401929</c:v>
                </c:pt>
                <c:pt idx="13">
                  <c:v>7.4901895915585834</c:v>
                </c:pt>
                <c:pt idx="14">
                  <c:v>7.2836695965410216</c:v>
                </c:pt>
                <c:pt idx="15">
                  <c:v>7.0792210112006098</c:v>
                </c:pt>
                <c:pt idx="16">
                  <c:v>6.8769687363445815</c:v>
                </c:pt>
                <c:pt idx="17">
                  <c:v>6.6770331932350819</c:v>
                </c:pt>
                <c:pt idx="18">
                  <c:v>6.4795301079792349</c:v>
                </c:pt>
                <c:pt idx="19">
                  <c:v>6.2845703187374449</c:v>
                </c:pt>
                <c:pt idx="20">
                  <c:v>6.0922595993555264</c:v>
                </c:pt>
                <c:pt idx="21">
                  <c:v>5.9026984998875216</c:v>
                </c:pt>
                <c:pt idx="22">
                  <c:v>5.7159821503557886</c:v>
                </c:pt>
                <c:pt idx="23">
                  <c:v>5.5322003116874487</c:v>
                </c:pt>
                <c:pt idx="24">
                  <c:v>5.3514370404099703</c:v>
                </c:pt>
                <c:pt idx="25">
                  <c:v>5.1737707324320654</c:v>
                </c:pt>
                <c:pt idx="26">
                  <c:v>4.9992740208201605</c:v>
                </c:pt>
                <c:pt idx="27">
                  <c:v>4.8280137213156937</c:v>
                </c:pt>
                <c:pt idx="28">
                  <c:v>4.6600507955184964</c:v>
                </c:pt>
                <c:pt idx="29">
                  <c:v>4.4954403315824143</c:v>
                </c:pt>
                <c:pt idx="30">
                  <c:v>4.3342314288597885</c:v>
                </c:pt>
                <c:pt idx="31">
                  <c:v>4.1764675983248543</c:v>
                </c:pt>
                <c:pt idx="32">
                  <c:v>4.0221862820871799</c:v>
                </c:pt>
                <c:pt idx="33">
                  <c:v>3.8714192062414234</c:v>
                </c:pt>
                <c:pt idx="34">
                  <c:v>3.7241923734249305</c:v>
                </c:pt>
                <c:pt idx="35">
                  <c:v>3.580526139953383</c:v>
                </c:pt>
                <c:pt idx="36">
                  <c:v>3.4404353073118079</c:v>
                </c:pt>
                <c:pt idx="37">
                  <c:v>3.303929098356257</c:v>
                </c:pt>
                <c:pt idx="38">
                  <c:v>3.1710147083549494</c:v>
                </c:pt>
                <c:pt idx="39">
                  <c:v>3.0416844911147756</c:v>
                </c:pt>
                <c:pt idx="40">
                  <c:v>2.9159356731358081</c:v>
                </c:pt>
                <c:pt idx="41">
                  <c:v>2.7937570692018094</c:v>
                </c:pt>
                <c:pt idx="42">
                  <c:v>2.6751327505252847</c:v>
                </c:pt>
                <c:pt idx="43">
                  <c:v>2.5600422136392837</c:v>
                </c:pt>
                <c:pt idx="44">
                  <c:v>2.4484605578438523</c:v>
                </c:pt>
                <c:pt idx="45">
                  <c:v>2.3403581651996741</c:v>
                </c:pt>
                <c:pt idx="46">
                  <c:v>2.2357028903876013</c:v>
                </c:pt>
                <c:pt idx="47">
                  <c:v>2.1344572789053067</c:v>
                </c:pt>
                <c:pt idx="48">
                  <c:v>2.0365803446667043</c:v>
                </c:pt>
                <c:pt idx="49">
                  <c:v>1.9420288574614184</c:v>
                </c:pt>
                <c:pt idx="50">
                  <c:v>1.8507552327977066</c:v>
                </c:pt>
              </c:numCache>
            </c:numRef>
          </c:yVal>
          <c:smooth val="1"/>
        </c:ser>
        <c:axId val="84445056"/>
        <c:axId val="84459904"/>
      </c:scatterChart>
      <c:valAx>
        <c:axId val="8444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cs-CZ" sz="1400"/>
                </a:pPr>
                <a:r>
                  <a:rPr lang="en-US" sz="1400"/>
                  <a:t>Distance from surface [mm]</a:t>
                </a:r>
                <a:endParaRPr lang="cs-CZ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cs-CZ"/>
            </a:pPr>
            <a:endParaRPr lang="en-US"/>
          </a:p>
        </c:txPr>
        <c:crossAx val="84459904"/>
        <c:crosses val="autoZero"/>
        <c:crossBetween val="midCat"/>
      </c:valAx>
      <c:valAx>
        <c:axId val="84459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cs-CZ" sz="1400"/>
                </a:pPr>
                <a:r>
                  <a:rPr lang="en-US" sz="1400" b="1" i="0" baseline="0">
                    <a:effectLst/>
                  </a:rPr>
                  <a:t>Cloride mass / binder mass</a:t>
                </a:r>
                <a:r>
                  <a:rPr lang="cs-CZ" sz="1400" b="1" i="0" baseline="0">
                    <a:effectLst/>
                  </a:rPr>
                  <a:t> </a:t>
                </a:r>
                <a:r>
                  <a:rPr lang="en-US" sz="1400" b="1" i="0" baseline="0">
                    <a:effectLst/>
                  </a:rPr>
                  <a:t>[%]</a:t>
                </a:r>
                <a:endParaRPr lang="cs-CZ" sz="1400">
                  <a:effectLst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cs-CZ"/>
            </a:pPr>
            <a:endParaRPr lang="en-US"/>
          </a:p>
        </c:txPr>
        <c:crossAx val="84445056"/>
        <c:crosses val="autoZero"/>
        <c:crossBetween val="midCat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80151731332193277"/>
          <c:y val="0.16083882323769647"/>
          <c:w val="0.1486376158129124"/>
          <c:h val="0.15340748543933871"/>
        </c:manualLayout>
      </c:layout>
      <c:spPr>
        <a:solidFill>
          <a:schemeClr val="bg1">
            <a:lumMod val="95000"/>
          </a:schemeClr>
        </a:solidFill>
      </c:spPr>
    </c:legend>
    <c:plotVisOnly val="1"/>
    <c:dispBlanksAs val="gap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976311</xdr:colOff>
      <xdr:row>61</xdr:row>
      <xdr:rowOff>61911</xdr:rowOff>
    </xdr:from>
    <xdr:to>
      <xdr:col>9</xdr:col>
      <xdr:colOff>314325</xdr:colOff>
      <xdr:row>84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523153</xdr:colOff>
      <xdr:row>58</xdr:row>
      <xdr:rowOff>38501</xdr:rowOff>
    </xdr:from>
    <xdr:to>
      <xdr:col>23</xdr:col>
      <xdr:colOff>218353</xdr:colOff>
      <xdr:row>74</xdr:row>
      <xdr:rowOff>140634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4329" y="12353766"/>
          <a:ext cx="5746377" cy="323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81642</xdr:colOff>
      <xdr:row>26</xdr:row>
      <xdr:rowOff>89647</xdr:rowOff>
    </xdr:from>
    <xdr:to>
      <xdr:col>24</xdr:col>
      <xdr:colOff>1870</xdr:colOff>
      <xdr:row>55</xdr:row>
      <xdr:rowOff>98931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547936" y="5827059"/>
          <a:ext cx="5971405" cy="6306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.smilauer@fsv.cvu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zoomScale="85" zoomScaleNormal="85" workbookViewId="0">
      <selection activeCell="C15" sqref="C15"/>
    </sheetView>
  </sheetViews>
  <sheetFormatPr defaultRowHeight="15"/>
  <cols>
    <col min="1" max="1" width="22.85546875" customWidth="1"/>
    <col min="2" max="4" width="11.85546875" customWidth="1"/>
    <col min="5" max="5" width="4.5703125" customWidth="1"/>
    <col min="6" max="6" width="11.5703125" customWidth="1"/>
    <col min="7" max="7" width="16.140625" customWidth="1"/>
    <col min="13" max="13" width="11.5703125" bestFit="1" customWidth="1"/>
  </cols>
  <sheetData>
    <row r="1" spans="1:7" ht="23.25">
      <c r="A1" s="22" t="s">
        <v>89</v>
      </c>
      <c r="C1" s="8"/>
      <c r="D1" s="8"/>
    </row>
    <row r="2" spans="1:7">
      <c r="A2" s="21"/>
      <c r="B2" s="8"/>
      <c r="C2" s="8"/>
      <c r="D2" s="8"/>
    </row>
    <row r="3" spans="1:7">
      <c r="A3" s="21" t="s">
        <v>81</v>
      </c>
      <c r="B3" s="21" t="s">
        <v>13</v>
      </c>
      <c r="C3" s="8"/>
      <c r="D3" s="8"/>
    </row>
    <row r="4" spans="1:7">
      <c r="A4" s="21" t="s">
        <v>82</v>
      </c>
      <c r="B4" s="21"/>
      <c r="C4" s="8"/>
      <c r="D4" s="8"/>
    </row>
    <row r="5" spans="1:7">
      <c r="A5" s="21" t="s">
        <v>90</v>
      </c>
      <c r="B5" s="21"/>
      <c r="C5" s="8"/>
      <c r="D5" s="8"/>
    </row>
    <row r="6" spans="1:7">
      <c r="A6" s="21" t="s">
        <v>75</v>
      </c>
      <c r="B6" s="21"/>
      <c r="C6" s="8"/>
      <c r="D6" s="8"/>
    </row>
    <row r="7" spans="1:7">
      <c r="A7" s="21"/>
      <c r="B7" s="21"/>
      <c r="C7" s="8"/>
      <c r="D7" s="8"/>
    </row>
    <row r="8" spans="1:7">
      <c r="A8" t="s">
        <v>85</v>
      </c>
      <c r="B8" s="8"/>
      <c r="C8" s="8"/>
      <c r="D8" s="8"/>
    </row>
    <row r="10" spans="1:7" ht="24" thickBot="1">
      <c r="A10" s="17" t="s">
        <v>39</v>
      </c>
    </row>
    <row r="11" spans="1:7" ht="18.75">
      <c r="A11" s="6" t="s">
        <v>14</v>
      </c>
      <c r="B11" s="23">
        <v>400</v>
      </c>
      <c r="C11" t="s">
        <v>26</v>
      </c>
    </row>
    <row r="12" spans="1:7" ht="18.75">
      <c r="A12" s="6" t="s">
        <v>15</v>
      </c>
      <c r="B12" s="24">
        <v>50</v>
      </c>
      <c r="C12" t="s">
        <v>27</v>
      </c>
    </row>
    <row r="13" spans="1:7" ht="17.25">
      <c r="A13" s="6" t="s">
        <v>0</v>
      </c>
      <c r="B13" s="24">
        <v>202.5</v>
      </c>
      <c r="C13" t="s">
        <v>28</v>
      </c>
    </row>
    <row r="14" spans="1:7" ht="18">
      <c r="A14" s="6" t="s">
        <v>16</v>
      </c>
      <c r="B14" s="24">
        <v>0.5</v>
      </c>
      <c r="C14" s="2" t="s">
        <v>17</v>
      </c>
      <c r="D14" s="2"/>
      <c r="E14" s="2"/>
      <c r="F14" s="2"/>
      <c r="G14" s="2"/>
    </row>
    <row r="15" spans="1:7">
      <c r="A15" s="6" t="s">
        <v>1</v>
      </c>
      <c r="B15" s="24">
        <v>0.6</v>
      </c>
      <c r="C15" t="s">
        <v>92</v>
      </c>
    </row>
    <row r="16" spans="1:7" ht="18.75">
      <c r="A16" s="7" t="s">
        <v>18</v>
      </c>
      <c r="B16" s="24">
        <v>3150</v>
      </c>
      <c r="C16" t="s">
        <v>29</v>
      </c>
    </row>
    <row r="17" spans="1:15" ht="18">
      <c r="A17" s="7" t="s">
        <v>20</v>
      </c>
      <c r="B17" s="25">
        <v>3.8999999999999999E-4</v>
      </c>
      <c r="C17" t="s">
        <v>21</v>
      </c>
    </row>
    <row r="18" spans="1:15" ht="18">
      <c r="A18" s="7" t="s">
        <v>22</v>
      </c>
      <c r="B18" s="24">
        <v>45</v>
      </c>
      <c r="C18" t="s">
        <v>25</v>
      </c>
    </row>
    <row r="19" spans="1:15" ht="18.75" thickBot="1">
      <c r="A19" s="7" t="s">
        <v>23</v>
      </c>
      <c r="B19" s="26">
        <v>0.2</v>
      </c>
      <c r="C19" t="s">
        <v>24</v>
      </c>
    </row>
    <row r="20" spans="1:15">
      <c r="A20" s="7"/>
    </row>
    <row r="21" spans="1:15" ht="18.75">
      <c r="A21" s="7" t="s">
        <v>19</v>
      </c>
      <c r="B21">
        <v>1000</v>
      </c>
      <c r="C21" t="s">
        <v>30</v>
      </c>
    </row>
    <row r="22" spans="1:15" ht="18.75">
      <c r="A22" s="6" t="s">
        <v>31</v>
      </c>
      <c r="B22">
        <f>6.1*10^(-6)*((B13-0.267*(B11+B14*B12))/1000/((B11+B14*B12)/B16+B13/B21))^3*(1-B15)^2.2</f>
        <v>1.4923917792351877E-8</v>
      </c>
      <c r="C22" t="s">
        <v>32</v>
      </c>
    </row>
    <row r="23" spans="1:15" ht="18.75" thickBot="1">
      <c r="A23" s="6" t="s">
        <v>34</v>
      </c>
      <c r="B23">
        <f>((2*B22*B17)/(0.218*(B11+B14*B12)))^0.5</f>
        <v>3.5445900460770458E-7</v>
      </c>
      <c r="C23" t="s">
        <v>33</v>
      </c>
    </row>
    <row r="24" spans="1:15" ht="18.75" thickBot="1">
      <c r="A24" s="6" t="s">
        <v>35</v>
      </c>
      <c r="B24" s="44">
        <f>(B18/1000/(B23*(2.816*(B19)^0.5+1)))^2/(60^2*24*365.24219)</f>
        <v>100.05296267596415</v>
      </c>
      <c r="C24" t="s">
        <v>36</v>
      </c>
    </row>
    <row r="26" spans="1:15" ht="21">
      <c r="L26" s="3"/>
      <c r="M26" s="3"/>
      <c r="O26" s="3" t="s">
        <v>76</v>
      </c>
    </row>
    <row r="27" spans="1:15" ht="24" thickBot="1">
      <c r="A27" s="17" t="s">
        <v>37</v>
      </c>
    </row>
    <row r="28" spans="1:15" ht="18" customHeight="1" thickBot="1">
      <c r="A28" s="6" t="s">
        <v>38</v>
      </c>
      <c r="B28" s="27">
        <v>2</v>
      </c>
      <c r="C28" s="28"/>
      <c r="D28" s="28"/>
      <c r="F28" t="s">
        <v>44</v>
      </c>
    </row>
    <row r="29" spans="1:15" ht="18">
      <c r="A29" s="6" t="s">
        <v>79</v>
      </c>
      <c r="B29" s="29">
        <v>1</v>
      </c>
      <c r="C29" s="30">
        <v>2</v>
      </c>
      <c r="D29" s="31">
        <v>1</v>
      </c>
      <c r="F29" t="s">
        <v>46</v>
      </c>
      <c r="K29" s="8"/>
    </row>
    <row r="30" spans="1:15">
      <c r="A30" s="7" t="s">
        <v>3</v>
      </c>
      <c r="B30" s="32">
        <v>0.38</v>
      </c>
      <c r="C30" s="33">
        <v>0.38</v>
      </c>
      <c r="D30" s="34">
        <v>0.55000000000000004</v>
      </c>
      <c r="F30" t="s">
        <v>45</v>
      </c>
      <c r="K30" s="8"/>
    </row>
    <row r="31" spans="1:15" ht="18.75">
      <c r="A31" s="6" t="s">
        <v>83</v>
      </c>
      <c r="B31" s="35">
        <v>1.4000000000000001E-12</v>
      </c>
      <c r="C31" s="36"/>
      <c r="D31" s="37"/>
      <c r="F31" t="s">
        <v>40</v>
      </c>
    </row>
    <row r="32" spans="1:15" ht="18">
      <c r="A32" s="6" t="s">
        <v>84</v>
      </c>
      <c r="B32" s="38">
        <v>10</v>
      </c>
      <c r="C32" s="39"/>
      <c r="D32" s="40"/>
      <c r="F32" t="s">
        <v>41</v>
      </c>
    </row>
    <row r="33" spans="1:6">
      <c r="A33" s="6" t="s">
        <v>2</v>
      </c>
      <c r="B33" s="32">
        <v>0.6</v>
      </c>
      <c r="C33" s="33">
        <v>0.4</v>
      </c>
      <c r="D33" s="34">
        <v>0.3</v>
      </c>
      <c r="F33" t="s">
        <v>43</v>
      </c>
    </row>
    <row r="34" spans="1:6" ht="18">
      <c r="A34" s="7" t="s">
        <v>42</v>
      </c>
      <c r="B34" s="32">
        <v>10</v>
      </c>
      <c r="C34" s="33">
        <v>10</v>
      </c>
      <c r="D34" s="34">
        <v>10.3</v>
      </c>
      <c r="F34" t="s">
        <v>88</v>
      </c>
    </row>
    <row r="35" spans="1:6" ht="18.75" thickBot="1">
      <c r="A35" s="7" t="s">
        <v>23</v>
      </c>
      <c r="B35" s="41">
        <v>0.1</v>
      </c>
      <c r="C35" s="42">
        <v>0</v>
      </c>
      <c r="D35" s="43">
        <v>0</v>
      </c>
      <c r="F35" t="s">
        <v>24</v>
      </c>
    </row>
    <row r="36" spans="1:6">
      <c r="A36" s="6"/>
    </row>
    <row r="37" spans="1:6" ht="18.75">
      <c r="A37" s="6" t="s">
        <v>48</v>
      </c>
      <c r="B37" s="2">
        <f>IF(B29=0,B31,IF(B29=1,Column_B!$C$56,IF(B29=2,Column_B!$C$57,IF(B29=3,Column_B!$C$58,IF(B29=4,Column_B!$C$59,IF(B29=5,Column_B!$C$60,IF(B29=6,Column_B!$C$61)))))))</f>
        <v>1.3909404130971203E-13</v>
      </c>
      <c r="C37" s="2">
        <f>IF(C29=0,C31,IF(C29=1,Column_C!$C$56,IF(C29=2,Column_C!$C$57,IF(C29=3,Column_C!$C$58,IF(C29=4,Column_C!$C$59,IF(C29=5,Column_C!$C$60,IF(C29=6,Column_C!$C$61)))))))</f>
        <v>1.5361907288464328E-13</v>
      </c>
      <c r="D37" s="2">
        <f>IF(D29=0,D31,IF(D29=1,Column_D!$C$56,IF(D29=2,Column_D!$C$57,IF(D29=3,Column_D!$C$58,IF(D29=4,Column_D!$C$59,IF(D29=5,Column_D!$C$60,IF(D29=6,Column_D!$C$61)))))))</f>
        <v>1.4506486039807716E-12</v>
      </c>
      <c r="F37" s="16" t="s">
        <v>47</v>
      </c>
    </row>
    <row r="38" spans="1:6" ht="18">
      <c r="A38" s="6" t="s">
        <v>72</v>
      </c>
      <c r="B38" s="19">
        <f>30*365.24219*24*60^2</f>
        <v>946707756.4799999</v>
      </c>
      <c r="C38" s="19">
        <f t="shared" ref="C38:D38" si="0">30*365.24219*24*60^2</f>
        <v>946707756.4799999</v>
      </c>
      <c r="D38" s="19">
        <f t="shared" si="0"/>
        <v>946707756.4799999</v>
      </c>
      <c r="F38" t="s">
        <v>70</v>
      </c>
    </row>
    <row r="39" spans="1:6" ht="18">
      <c r="A39" s="6" t="s">
        <v>56</v>
      </c>
      <c r="B39">
        <f>36.61*B35^2+4.73*B35+1</f>
        <v>1.8391000000000002</v>
      </c>
      <c r="C39">
        <f>36.61*C35^2+4.73*C35+1</f>
        <v>1</v>
      </c>
      <c r="D39">
        <f>36.61*D35^2+4.73*D35+1</f>
        <v>1</v>
      </c>
      <c r="F39" t="s">
        <v>57</v>
      </c>
    </row>
    <row r="40" spans="1:6">
      <c r="A40" s="6"/>
    </row>
    <row r="41" spans="1:6" ht="19.5" thickBot="1">
      <c r="A41" s="18" t="s">
        <v>50</v>
      </c>
    </row>
    <row r="42" spans="1:6" ht="18">
      <c r="A42" s="7" t="s">
        <v>49</v>
      </c>
      <c r="B42" s="29">
        <v>1</v>
      </c>
      <c r="C42" s="30">
        <v>1</v>
      </c>
      <c r="D42" s="31">
        <v>1.85</v>
      </c>
      <c r="F42" t="s">
        <v>91</v>
      </c>
    </row>
    <row r="43" spans="1:6" ht="18.75" thickBot="1">
      <c r="A43" s="7" t="s">
        <v>22</v>
      </c>
      <c r="B43" s="41">
        <v>40</v>
      </c>
      <c r="C43" s="42">
        <v>40</v>
      </c>
      <c r="D43" s="43">
        <v>100</v>
      </c>
      <c r="F43" t="s">
        <v>25</v>
      </c>
    </row>
    <row r="44" spans="1:6">
      <c r="A44" s="7"/>
    </row>
    <row r="45" spans="1:6" ht="18">
      <c r="A45" s="6" t="s">
        <v>53</v>
      </c>
      <c r="B45" s="20">
        <f>IF(B29&gt;0,10*365.24219*24*60^2,IF($B$28=1,B32*24*60^2,B32*365.24219*24*60^2))</f>
        <v>315569252.16000003</v>
      </c>
      <c r="C45" s="20">
        <f>IF(C29&gt;0,10*365.24219*24*60^2,IF($B$28=1,C32*24*60^2,C32*365.24219*24*60^2))</f>
        <v>315569252.16000003</v>
      </c>
      <c r="D45" s="20">
        <f>IF(D29&gt;0,10*365.24219*24*60^2,IF($B$28=1,D32*24*60^2,D32*365.24219*24*60^2))</f>
        <v>315569252.16000003</v>
      </c>
      <c r="F45" t="s">
        <v>54</v>
      </c>
    </row>
    <row r="46" spans="1:6">
      <c r="A46" s="7" t="s">
        <v>64</v>
      </c>
      <c r="B46">
        <f>(B43/1000)^2/4/(SQRT(GAMMAINV(1-B42/B34,0.5,1)))^2/B39</f>
        <v>1.6077929833861995E-4</v>
      </c>
      <c r="C46">
        <f>(C43/1000)^2/4/(SQRT(GAMMAINV(1-C42/C34,0.5,1)))^2/C39</f>
        <v>2.9568920757455598E-4</v>
      </c>
      <c r="D46">
        <f>(D43/1000)^2/4/(SQRT(GAMMAINV(1-D42/D34,0.5,1)))^2/D39</f>
        <v>2.7764906916566724E-3</v>
      </c>
      <c r="F46" t="s">
        <v>65</v>
      </c>
    </row>
    <row r="47" spans="1:6" ht="18">
      <c r="A47" s="7" t="s">
        <v>66</v>
      </c>
      <c r="B47">
        <f>(B46*(1-B33)/(B37*B45^B33))^(1/(1-B33))</f>
        <v>819996438.47297025</v>
      </c>
      <c r="C47">
        <f>(C46*(1-C33)/(C37*C45^C33))^(1/(1-C33))</f>
        <v>2742665559.4666758</v>
      </c>
      <c r="D47">
        <f>(D46*(1-D33)/(D37*D45^D33))^(1/(1-D33))</f>
        <v>2489705894.2292657</v>
      </c>
      <c r="F47" t="s">
        <v>71</v>
      </c>
    </row>
    <row r="48" spans="1:6" ht="18">
      <c r="A48" s="7" t="s">
        <v>73</v>
      </c>
      <c r="B48">
        <f>B46/B37/(B45/B38)^B33-B38*B33/(1-B33)</f>
        <v>814510384.45710826</v>
      </c>
      <c r="C48">
        <f>C46/C37/(C45/C38)^C33-C38*C33/(1-C33)</f>
        <v>2355886344.9556375</v>
      </c>
      <c r="D48">
        <f>D46/D37/(D45/D38)^D33-D38*D33/(1-D33)</f>
        <v>2255424347.5585251</v>
      </c>
      <c r="F48" t="s">
        <v>74</v>
      </c>
    </row>
    <row r="49" spans="1:15">
      <c r="A49" s="7" t="s">
        <v>68</v>
      </c>
      <c r="B49">
        <f>IF(B47&lt;B38,B47,B48)</f>
        <v>819996438.47297025</v>
      </c>
      <c r="C49">
        <f t="shared" ref="C49:D49" si="1">IF(C47&lt;C38,C47,C48)</f>
        <v>2355886344.9556375</v>
      </c>
      <c r="D49">
        <f t="shared" si="1"/>
        <v>2255424347.5585251</v>
      </c>
      <c r="F49" t="s">
        <v>67</v>
      </c>
    </row>
    <row r="50" spans="1:15" ht="15.75" thickBot="1">
      <c r="A50" s="7"/>
    </row>
    <row r="51" spans="1:15" ht="16.5" thickBot="1">
      <c r="A51" s="6" t="s">
        <v>68</v>
      </c>
      <c r="B51" s="44">
        <f>IF(B28=1,B49/24/3600,B49/24/3600/365.24219)</f>
        <v>25.984674769809811</v>
      </c>
      <c r="C51" s="44">
        <f>IF(C28=1,C49/24/3600,C49/24/3600/365.24219)</f>
        <v>74.655129700695781</v>
      </c>
      <c r="D51" s="44">
        <f>IF(D28=1,D49/24/3600,D49/24/3600/365.24219)</f>
        <v>71.471613033293224</v>
      </c>
      <c r="F51" t="s">
        <v>69</v>
      </c>
    </row>
    <row r="52" spans="1:15">
      <c r="A52" s="6"/>
    </row>
    <row r="54" spans="1:15" ht="19.5" thickBot="1">
      <c r="A54" s="18" t="s">
        <v>77</v>
      </c>
    </row>
    <row r="55" spans="1:15">
      <c r="A55" s="7" t="s">
        <v>61</v>
      </c>
      <c r="B55" s="29">
        <v>1</v>
      </c>
      <c r="C55" s="30">
        <v>75</v>
      </c>
      <c r="D55" s="31">
        <v>71.5</v>
      </c>
      <c r="F55" t="s">
        <v>52</v>
      </c>
    </row>
    <row r="56" spans="1:15" ht="15.75" thickBot="1">
      <c r="A56" s="6" t="s">
        <v>62</v>
      </c>
      <c r="B56" s="41">
        <v>40</v>
      </c>
      <c r="C56" s="42">
        <v>40</v>
      </c>
      <c r="D56" s="43">
        <v>100</v>
      </c>
      <c r="F56" t="s">
        <v>51</v>
      </c>
    </row>
    <row r="57" spans="1:15">
      <c r="A57" s="6"/>
      <c r="B57" s="2"/>
    </row>
    <row r="58" spans="1:15" ht="21">
      <c r="A58" s="7" t="s">
        <v>59</v>
      </c>
      <c r="B58" s="19">
        <f>IF($B28=1,B55*24*60^2,B55*365.24219* 24* 60^2)</f>
        <v>31556925.216000002</v>
      </c>
      <c r="C58" s="19">
        <f>IF($B28=1,C55*24*60^2,C55*365.24219* 24* 60^2)</f>
        <v>2366769391.1999998</v>
      </c>
      <c r="D58" s="19">
        <f>IF($B28=1,D55*24*60^2,D55*365.24219* 24* 60^2)</f>
        <v>2256320152.9440002</v>
      </c>
      <c r="F58" t="s">
        <v>63</v>
      </c>
      <c r="O58" s="3" t="s">
        <v>78</v>
      </c>
    </row>
    <row r="59" spans="1:15" ht="18.75">
      <c r="A59" s="6" t="s">
        <v>58</v>
      </c>
      <c r="B59">
        <f>IF(B58&lt;B38,B37/(1-B33)*(B45/B58)^B33,B37*(1+B38/B58*B33/(1-B33))*(B45/B38)^B33)</f>
        <v>1.3843583806665178E-12</v>
      </c>
      <c r="C59">
        <f>IF(C58&lt;C38,C37/(1-C33)*(C45/C58)^C33,C37*(1+C38/C58*C33/(1-C33))*(C45/C38)^C33)</f>
        <v>1.2538886746074371E-13</v>
      </c>
      <c r="D59">
        <f>IF(D58&lt;D38,D37/(1-D33)*(D45/D58)^D33,D37*(1+D38/D58*D33/(1-D33))*(D45/D38)^D33)</f>
        <v>1.2309535584311385E-12</v>
      </c>
      <c r="F59" t="s">
        <v>55</v>
      </c>
    </row>
    <row r="60" spans="1:15">
      <c r="A60" s="6" t="s">
        <v>60</v>
      </c>
      <c r="B60">
        <f>B34*ERFC((B56/1000)/(2*(B59*B39*B58)^0.5))</f>
        <v>1.6021318099609383E-2</v>
      </c>
      <c r="C60">
        <f>C34*ERFC((C56/1000)/(2*(C59*C39*C58)^0.5))</f>
        <v>1.0061795036362386</v>
      </c>
      <c r="D60">
        <f>D34*ERFC((D56/1000)/(2*(D59*D39*D58)^0.5))</f>
        <v>1.8507552327977088</v>
      </c>
      <c r="F60" t="s">
        <v>80</v>
      </c>
    </row>
    <row r="61" spans="1:15">
      <c r="A61" s="9"/>
      <c r="B61" s="9"/>
      <c r="C61" s="9"/>
      <c r="D61" s="9"/>
      <c r="E61" s="9"/>
      <c r="F61" s="10"/>
    </row>
    <row r="62" spans="1:15">
      <c r="A62" s="11"/>
      <c r="B62" s="12"/>
      <c r="C62" s="12"/>
      <c r="D62" s="12"/>
      <c r="E62" s="9"/>
      <c r="F62" s="9"/>
    </row>
    <row r="63" spans="1:15" ht="18.75">
      <c r="A63" s="13"/>
      <c r="B63" s="14"/>
      <c r="C63" s="14"/>
      <c r="D63" s="14"/>
      <c r="E63" s="15"/>
      <c r="F63" s="9"/>
    </row>
    <row r="85" spans="1:13" ht="21">
      <c r="M85" s="3"/>
    </row>
    <row r="89" spans="1:13" ht="26.25">
      <c r="A89" s="1"/>
    </row>
    <row r="90" spans="1:13" ht="26.25">
      <c r="A90" s="1"/>
    </row>
    <row r="106" spans="1:8" ht="18.75">
      <c r="H106" s="4"/>
    </row>
    <row r="108" spans="1:8">
      <c r="A108" s="6"/>
    </row>
    <row r="109" spans="1:8">
      <c r="A109" s="6"/>
    </row>
    <row r="110" spans="1:8">
      <c r="A110" s="6"/>
    </row>
    <row r="112" spans="1:8">
      <c r="A112" s="6"/>
      <c r="B112" s="6"/>
      <c r="C112" s="6"/>
      <c r="D112" s="6"/>
      <c r="E112" s="6"/>
      <c r="F112" s="6"/>
    </row>
    <row r="113" spans="1:6">
      <c r="A113" s="6"/>
      <c r="B113" s="6"/>
      <c r="C113" s="6"/>
      <c r="D113" s="6"/>
      <c r="E113" s="6"/>
      <c r="F113" s="6"/>
    </row>
    <row r="114" spans="1:6">
      <c r="A114" s="6"/>
      <c r="B114" s="6"/>
      <c r="C114" s="6"/>
      <c r="D114" s="6"/>
      <c r="E114" s="6"/>
      <c r="F114" s="6"/>
    </row>
    <row r="115" spans="1:6">
      <c r="A115" s="6"/>
      <c r="B115" s="6"/>
      <c r="C115" s="6"/>
      <c r="D115" s="6"/>
      <c r="E115" s="6"/>
      <c r="F115" s="6"/>
    </row>
    <row r="116" spans="1:6">
      <c r="A116" s="6"/>
      <c r="B116" s="6"/>
      <c r="C116" s="6"/>
      <c r="D116" s="6"/>
      <c r="E116" s="6"/>
      <c r="F116" s="6"/>
    </row>
    <row r="117" spans="1:6">
      <c r="A117" s="6"/>
      <c r="B117" s="6"/>
      <c r="C117" s="6"/>
      <c r="D117" s="6"/>
      <c r="E117" s="6"/>
      <c r="F117" s="6"/>
    </row>
  </sheetData>
  <hyperlinks>
    <hyperlink ref="A5" r:id="rId1" display="vit.smilauer@fsv.cvut.cz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1"/>
  <sheetViews>
    <sheetView topLeftCell="A40" workbookViewId="0">
      <selection activeCell="B55" sqref="B55:C55"/>
    </sheetView>
  </sheetViews>
  <sheetFormatPr defaultRowHeight="15"/>
  <cols>
    <col min="1" max="1" width="12" bestFit="1" customWidth="1"/>
    <col min="2" max="2" width="16.28515625" bestFit="1" customWidth="1"/>
    <col min="3" max="3" width="12" bestFit="1" customWidth="1"/>
    <col min="4" max="7" width="12" customWidth="1"/>
    <col min="9" max="9" width="16.28515625" bestFit="1" customWidth="1"/>
    <col min="11" max="11" width="16.28515625" bestFit="1" customWidth="1"/>
    <col min="12" max="12" width="18.28515625" customWidth="1"/>
    <col min="15" max="15" width="16.28515625" bestFit="1" customWidth="1"/>
    <col min="16" max="16" width="12" bestFit="1" customWidth="1"/>
  </cols>
  <sheetData>
    <row r="1" spans="1:16">
      <c r="A1" s="5" t="s">
        <v>11</v>
      </c>
      <c r="B1" s="5" t="s">
        <v>10</v>
      </c>
      <c r="C1" s="5" t="s">
        <v>12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>
        <v>0</v>
      </c>
      <c r="B2">
        <f>Model!$B$34*ERFC(A2/(2*(Model!$B$59*Model!$B$39*Model!$B$58)^0.5))</f>
        <v>10</v>
      </c>
      <c r="C2">
        <f>A2*1000</f>
        <v>0</v>
      </c>
    </row>
    <row r="3" spans="1:16">
      <c r="A3">
        <f>Model!$B$56/50000</f>
        <v>8.0000000000000004E-4</v>
      </c>
      <c r="B3">
        <f>Model!$B$34*ERFC(A3/(2*(Model!$B$59*Model!$B$39*Model!$B$58)^0.5))</f>
        <v>9.4967861864235967</v>
      </c>
      <c r="C3">
        <f t="shared" ref="C3:C52" si="0">A3*1000</f>
        <v>0.8</v>
      </c>
    </row>
    <row r="4" spans="1:16">
      <c r="A4">
        <f>Model!$B$56/50000+A3</f>
        <v>1.6000000000000001E-3</v>
      </c>
      <c r="B4">
        <f>Model!$B$34*ERFC(A4/(2*(Model!$B$59*Model!$B$39*Model!$B$58)^0.5))</f>
        <v>8.9955719839104926</v>
      </c>
      <c r="C4">
        <f t="shared" si="0"/>
        <v>1.6</v>
      </c>
    </row>
    <row r="5" spans="1:16">
      <c r="A5">
        <f>Model!$B$56/50000+A4</f>
        <v>2.4000000000000002E-3</v>
      </c>
      <c r="B5">
        <f>Model!$B$34*ERFC(A5/(2*(Model!$B$59*Model!$B$39*Model!$B$58)^0.5))</f>
        <v>8.4983331973888756</v>
      </c>
      <c r="C5">
        <f t="shared" si="0"/>
        <v>2.4000000000000004</v>
      </c>
    </row>
    <row r="6" spans="1:16">
      <c r="A6">
        <f>Model!$B$56/50000+A5</f>
        <v>3.2000000000000002E-3</v>
      </c>
      <c r="B6">
        <f>Model!$B$34*ERFC(A6/(2*(Model!$B$59*Model!$B$39*Model!$B$58)^0.5))</f>
        <v>8.0069984923501654</v>
      </c>
      <c r="C6">
        <f t="shared" si="0"/>
        <v>3.2</v>
      </c>
    </row>
    <row r="7" spans="1:16">
      <c r="A7">
        <f>Model!$B$56/50000+A6</f>
        <v>4.0000000000000001E-3</v>
      </c>
      <c r="B7">
        <f>Model!$B$34*ERFC(A7/(2*(Model!$B$59*Model!$B$39*Model!$B$58)^0.5))</f>
        <v>7.5234269917919931</v>
      </c>
      <c r="C7">
        <f t="shared" si="0"/>
        <v>4</v>
      </c>
    </row>
    <row r="8" spans="1:16">
      <c r="A8">
        <f>Model!$B$56/50000+A7</f>
        <v>4.8000000000000004E-3</v>
      </c>
      <c r="B8">
        <f>Model!$B$34*ERFC(A8/(2*(Model!$B$59*Model!$B$39*Model!$B$58)^0.5))</f>
        <v>7.0493872269174673</v>
      </c>
      <c r="C8">
        <f t="shared" si="0"/>
        <v>4.8000000000000007</v>
      </c>
    </row>
    <row r="9" spans="1:16">
      <c r="A9">
        <f>Model!$B$56/50000+A8</f>
        <v>5.6000000000000008E-3</v>
      </c>
      <c r="B9">
        <f>Model!$B$34*ERFC(A9/(2*(Model!$B$59*Model!$B$39*Model!$B$58)^0.5))</f>
        <v>6.5865378769176832</v>
      </c>
      <c r="C9">
        <f t="shared" si="0"/>
        <v>5.6000000000000005</v>
      </c>
    </row>
    <row r="10" spans="1:16">
      <c r="A10">
        <f>Model!$B$56/50000+A9</f>
        <v>6.4000000000000012E-3</v>
      </c>
      <c r="B10">
        <f>Model!$B$34*ERFC(A10/(2*(Model!$B$59*Model!$B$39*Model!$B$58)^0.5))</f>
        <v>6.1364105752761757</v>
      </c>
      <c r="C10">
        <f t="shared" si="0"/>
        <v>6.4000000000000012</v>
      </c>
    </row>
    <row r="11" spans="1:16">
      <c r="A11">
        <f>Model!$B$56/50000+A10</f>
        <v>7.2000000000000015E-3</v>
      </c>
      <c r="B11">
        <f>Model!$B$34*ERFC(A11/(2*(Model!$B$59*Model!$B$39*Model!$B$58)^0.5))</f>
        <v>5.7003951202499774</v>
      </c>
      <c r="C11">
        <f t="shared" si="0"/>
        <v>7.200000000000002</v>
      </c>
    </row>
    <row r="12" spans="1:16">
      <c r="A12">
        <f>Model!$B$56/50000+A11</f>
        <v>8.0000000000000019E-3</v>
      </c>
      <c r="B12">
        <f>Model!$B$34*ERFC(A12/(2*(Model!$B$59*Model!$B$39*Model!$B$58)^0.5))</f>
        <v>5.2797273835455618</v>
      </c>
      <c r="C12">
        <f t="shared" si="0"/>
        <v>8.0000000000000018</v>
      </c>
    </row>
    <row r="13" spans="1:16">
      <c r="A13">
        <f>Model!$B$56/50000+A12</f>
        <v>8.8000000000000023E-3</v>
      </c>
      <c r="B13">
        <f>Model!$B$34*ERFC(A13/(2*(Model!$B$59*Model!$B$39*Model!$B$58)^0.5))</f>
        <v>4.8754798843523499</v>
      </c>
      <c r="C13">
        <f t="shared" si="0"/>
        <v>8.8000000000000025</v>
      </c>
    </row>
    <row r="14" spans="1:16">
      <c r="A14">
        <f>Model!$B$56/50000+A13</f>
        <v>9.6000000000000026E-3</v>
      </c>
      <c r="B14">
        <f>Model!$B$34*ERFC(A14/(2*(Model!$B$59*Model!$B$39*Model!$B$58)^0.5))</f>
        <v>4.4885553450574758</v>
      </c>
      <c r="C14">
        <f t="shared" si="0"/>
        <v>9.6000000000000032</v>
      </c>
    </row>
    <row r="15" spans="1:16">
      <c r="A15">
        <f>Model!$B$56/50000+A14</f>
        <v>1.0400000000000003E-2</v>
      </c>
      <c r="B15">
        <f>Model!$B$34*ERFC(A15/(2*(Model!$B$59*Model!$B$39*Model!$B$58)^0.5))</f>
        <v>4.1196829675142617</v>
      </c>
      <c r="C15">
        <f t="shared" si="0"/>
        <v>10.400000000000002</v>
      </c>
    </row>
    <row r="16" spans="1:16">
      <c r="A16">
        <f>Model!$B$56/50000+A15</f>
        <v>1.1200000000000003E-2</v>
      </c>
      <c r="B16">
        <f>Model!$B$34*ERFC(A16/(2*(Model!$B$59*Model!$B$39*Model!$B$58)^0.5))</f>
        <v>3.7694180364569041</v>
      </c>
      <c r="C16">
        <f t="shared" si="0"/>
        <v>11.200000000000003</v>
      </c>
    </row>
    <row r="17" spans="1:3">
      <c r="A17">
        <f>Model!$B$56/50000+A16</f>
        <v>1.2000000000000004E-2</v>
      </c>
      <c r="B17">
        <f>Model!$B$34*ERFC(A17/(2*(Model!$B$59*Model!$B$39*Model!$B$58)^0.5))</f>
        <v>3.4381435238713043</v>
      </c>
      <c r="C17">
        <f t="shared" si="0"/>
        <v>12.000000000000004</v>
      </c>
    </row>
    <row r="18" spans="1:3">
      <c r="A18">
        <f>Model!$B$56/50000+A17</f>
        <v>1.2800000000000004E-2</v>
      </c>
      <c r="B18">
        <f>Model!$B$34*ERFC(A18/(2*(Model!$B$59*Model!$B$39*Model!$B$58)^0.5))</f>
        <v>3.1260773204985304</v>
      </c>
      <c r="C18">
        <f t="shared" si="0"/>
        <v>12.800000000000004</v>
      </c>
    </row>
    <row r="19" spans="1:3">
      <c r="A19">
        <f>Model!$B$56/50000+A18</f>
        <v>1.3600000000000004E-2</v>
      </c>
      <c r="B19">
        <f>Model!$B$34*ERFC(A19/(2*(Model!$B$59*Model!$B$39*Model!$B$58)^0.5))</f>
        <v>2.8332686918410555</v>
      </c>
      <c r="C19">
        <f t="shared" si="0"/>
        <v>13.600000000000005</v>
      </c>
    </row>
    <row r="20" spans="1:3">
      <c r="A20">
        <f>Model!$B$56/50000+A19</f>
        <v>1.4400000000000005E-2</v>
      </c>
      <c r="B20">
        <f>Model!$B$34*ERFC(A20/(2*(Model!$B$59*Model!$B$39*Model!$B$58)^0.5))</f>
        <v>2.5596232884769954</v>
      </c>
      <c r="C20">
        <f t="shared" si="0"/>
        <v>14.400000000000006</v>
      </c>
    </row>
    <row r="21" spans="1:3">
      <c r="A21">
        <f>Model!$B$56/50000+A20</f>
        <v>1.5200000000000005E-2</v>
      </c>
      <c r="B21">
        <f>Model!$B$34*ERFC(A21/(2*(Model!$B$59*Model!$B$39*Model!$B$58)^0.5))</f>
        <v>2.3049036672885572</v>
      </c>
      <c r="C21">
        <f t="shared" si="0"/>
        <v>15.200000000000005</v>
      </c>
    </row>
    <row r="22" spans="1:3">
      <c r="A22">
        <f>Model!$B$56/50000+A21</f>
        <v>1.6000000000000004E-2</v>
      </c>
      <c r="B22">
        <f>Model!$B$34*ERFC(A22/(2*(Model!$B$59*Model!$B$39*Model!$B$58)^0.5))</f>
        <v>2.0687429870974605</v>
      </c>
      <c r="C22">
        <f t="shared" si="0"/>
        <v>16.000000000000004</v>
      </c>
    </row>
    <row r="23" spans="1:3">
      <c r="A23">
        <f>Model!$B$56/50000+A22</f>
        <v>1.6800000000000002E-2</v>
      </c>
      <c r="B23">
        <f>Model!$B$34*ERFC(A23/(2*(Model!$B$59*Model!$B$39*Model!$B$58)^0.5))</f>
        <v>1.8506586900431476</v>
      </c>
      <c r="C23">
        <f t="shared" si="0"/>
        <v>16.8</v>
      </c>
    </row>
    <row r="24" spans="1:3">
      <c r="A24">
        <f>Model!$B$56/50000+A23</f>
        <v>1.7600000000000001E-2</v>
      </c>
      <c r="B24">
        <f>Model!$B$34*ERFC(A24/(2*(Model!$B$59*Model!$B$39*Model!$B$58)^0.5))</f>
        <v>1.650068082342212</v>
      </c>
      <c r="C24">
        <f t="shared" si="0"/>
        <v>17.600000000000001</v>
      </c>
    </row>
    <row r="25" spans="1:3">
      <c r="A25">
        <f>Model!$B$56/50000+A24</f>
        <v>1.84E-2</v>
      </c>
      <c r="B25">
        <f>Model!$B$34*ERFC(A25/(2*(Model!$B$59*Model!$B$39*Model!$B$58)^0.5))</f>
        <v>1.4663004144345471</v>
      </c>
      <c r="C25">
        <f t="shared" si="0"/>
        <v>18.399999999999999</v>
      </c>
    </row>
    <row r="26" spans="1:3">
      <c r="A26">
        <f>Model!$B$56/50000+A25</f>
        <v>1.9199999999999998E-2</v>
      </c>
      <c r="B26">
        <f>Model!$B$34*ERFC(A26/(2*(Model!$B$59*Model!$B$39*Model!$B$58)^0.5))</f>
        <v>1.2986140761618803</v>
      </c>
      <c r="C26">
        <f t="shared" si="0"/>
        <v>19.2</v>
      </c>
    </row>
    <row r="27" spans="1:3">
      <c r="A27">
        <f>Model!$B$56/50000+A26</f>
        <v>1.9999999999999997E-2</v>
      </c>
      <c r="B27">
        <f>Model!$B$34*ERFC(A27/(2*(Model!$B$59*Model!$B$39*Model!$B$58)^0.5))</f>
        <v>1.1462098112625263</v>
      </c>
      <c r="C27">
        <f t="shared" si="0"/>
        <v>19.999999999999996</v>
      </c>
    </row>
    <row r="28" spans="1:3">
      <c r="A28">
        <f>Model!$B$56/50000+A27</f>
        <v>2.0799999999999996E-2</v>
      </c>
      <c r="B28">
        <f>Model!$B$34*ERFC(A28/(2*(Model!$B$59*Model!$B$39*Model!$B$58)^0.5))</f>
        <v>1.0082452960796751</v>
      </c>
      <c r="C28">
        <f t="shared" si="0"/>
        <v>20.799999999999997</v>
      </c>
    </row>
    <row r="29" spans="1:3">
      <c r="A29">
        <f>Model!$B$56/50000+A28</f>
        <v>2.1599999999999994E-2</v>
      </c>
      <c r="B29">
        <f>Model!$B$34*ERFC(A29/(2*(Model!$B$59*Model!$B$39*Model!$B$58)^0.5))</f>
        <v>0.88384854850760197</v>
      </c>
      <c r="C29">
        <f t="shared" si="0"/>
        <v>21.599999999999994</v>
      </c>
    </row>
    <row r="30" spans="1:3">
      <c r="A30">
        <f>Model!$B$56/50000+A29</f>
        <v>2.2399999999999993E-2</v>
      </c>
      <c r="B30">
        <f>Model!$B$34*ERFC(A30/(2*(Model!$B$59*Model!$B$39*Model!$B$58)^0.5))</f>
        <v>0.77213124474849848</v>
      </c>
      <c r="C30">
        <f t="shared" si="0"/>
        <v>22.399999999999991</v>
      </c>
    </row>
    <row r="31" spans="1:3">
      <c r="A31">
        <f>Model!$B$56/50000+A30</f>
        <v>2.3199999999999991E-2</v>
      </c>
      <c r="B31">
        <f>Model!$B$34*ERFC(A31/(2*(Model!$B$59*Model!$B$39*Model!$B$58)^0.5))</f>
        <v>0.67219956204312981</v>
      </c>
      <c r="C31">
        <f t="shared" si="0"/>
        <v>23.199999999999992</v>
      </c>
    </row>
    <row r="32" spans="1:3">
      <c r="A32">
        <f>Model!$B$56/50000+A31</f>
        <v>2.399999999999999E-2</v>
      </c>
      <c r="B32">
        <f>Model!$B$34*ERFC(A32/(2*(Model!$B$59*Model!$B$39*Model!$B$58)^0.5))</f>
        <v>0.58316528472341811</v>
      </c>
      <c r="C32">
        <f t="shared" si="0"/>
        <v>23.999999999999989</v>
      </c>
    </row>
    <row r="33" spans="1:3">
      <c r="A33">
        <f>Model!$B$56/50000+A32</f>
        <v>2.4799999999999989E-2</v>
      </c>
      <c r="B33">
        <f>Model!$B$34*ERFC(A33/(2*(Model!$B$59*Model!$B$39*Model!$B$58)^0.5))</f>
        <v>0.50415544076174434</v>
      </c>
      <c r="C33">
        <f t="shared" si="0"/>
        <v>24.79999999999999</v>
      </c>
    </row>
    <row r="34" spans="1:3">
      <c r="A34">
        <f>Model!$B$56/50000+A33</f>
        <v>2.5599999999999987E-2</v>
      </c>
      <c r="B34">
        <f>Model!$B$34*ERFC(A34/(2*(Model!$B$59*Model!$B$39*Model!$B$58)^0.5))</f>
        <v>0.43431984948802849</v>
      </c>
      <c r="C34">
        <f t="shared" si="0"/>
        <v>25.599999999999987</v>
      </c>
    </row>
    <row r="35" spans="1:3">
      <c r="A35">
        <f>Model!$B$56/50000+A34</f>
        <v>2.6399999999999986E-2</v>
      </c>
      <c r="B35">
        <f>Model!$B$34*ERFC(A35/(2*(Model!$B$59*Model!$B$39*Model!$B$58)^0.5))</f>
        <v>0.37283862990139083</v>
      </c>
      <c r="C35">
        <f t="shared" si="0"/>
        <v>26.399999999999984</v>
      </c>
    </row>
    <row r="36" spans="1:3">
      <c r="A36">
        <f>Model!$B$56/50000+A35</f>
        <v>2.7199999999999985E-2</v>
      </c>
      <c r="B36">
        <f>Model!$B$34*ERFC(A36/(2*(Model!$B$59*Model!$B$39*Model!$B$58)^0.5))</f>
        <v>0.31892734192208394</v>
      </c>
      <c r="C36">
        <f t="shared" si="0"/>
        <v>27.199999999999985</v>
      </c>
    </row>
    <row r="37" spans="1:3">
      <c r="A37">
        <f>Model!$B$56/50000+A36</f>
        <v>2.7999999999999983E-2</v>
      </c>
      <c r="B37">
        <f>Model!$B$34*ERFC(A37/(2*(Model!$B$59*Model!$B$39*Model!$B$58)^0.5))</f>
        <v>0.27184182944948843</v>
      </c>
      <c r="C37">
        <f t="shared" si="0"/>
        <v>27.999999999999982</v>
      </c>
    </row>
    <row r="38" spans="1:3">
      <c r="A38">
        <f>Model!$B$56/50000+A37</f>
        <v>2.8799999999999982E-2</v>
      </c>
      <c r="B38">
        <f>Model!$B$34*ERFC(A38/(2*(Model!$B$59*Model!$B$39*Model!$B$58)^0.5))</f>
        <v>0.23088130219556136</v>
      </c>
      <c r="C38">
        <f t="shared" si="0"/>
        <v>28.799999999999983</v>
      </c>
    </row>
    <row r="39" spans="1:3">
      <c r="A39">
        <f>Model!$B$56/50000+A38</f>
        <v>2.959999999999998E-2</v>
      </c>
      <c r="B39">
        <f>Model!$B$34*ERFC(A39/(2*(Model!$B$59*Model!$B$39*Model!$B$58)^0.5))</f>
        <v>0.195390556375864</v>
      </c>
      <c r="C39">
        <f t="shared" si="0"/>
        <v>29.59999999999998</v>
      </c>
    </row>
    <row r="40" spans="1:3">
      <c r="A40">
        <f>Model!$B$56/50000+A39</f>
        <v>3.0399999999999979E-2</v>
      </c>
      <c r="B40">
        <f>Model!$B$34*ERFC(A40/(2*(Model!$B$59*Model!$B$39*Model!$B$58)^0.5))</f>
        <v>0.16476138851214017</v>
      </c>
      <c r="C40">
        <f t="shared" si="0"/>
        <v>30.399999999999981</v>
      </c>
    </row>
    <row r="41" spans="1:3">
      <c r="A41">
        <f>Model!$B$56/50000+A40</f>
        <v>3.1199999999999978E-2</v>
      </c>
      <c r="B41">
        <f>Model!$B$34*ERFC(A41/(2*(Model!$B$59*Model!$B$39*Model!$B$58)^0.5))</f>
        <v>0.13843290074236236</v>
      </c>
      <c r="C41">
        <f t="shared" si="0"/>
        <v>31.199999999999978</v>
      </c>
    </row>
    <row r="42" spans="1:3">
      <c r="A42">
        <f>Model!$B$56/50000+A41</f>
        <v>3.199999999999998E-2</v>
      </c>
      <c r="B42">
        <f>Model!$B$34*ERFC(A42/(2*(Model!$B$59*Model!$B$39*Model!$B$58)^0.5))</f>
        <v>0.11589113515484084</v>
      </c>
      <c r="C42">
        <f t="shared" si="0"/>
        <v>31.999999999999979</v>
      </c>
    </row>
    <row r="43" spans="1:3">
      <c r="A43">
        <f>Model!$B$56/50000+A42</f>
        <v>3.2799999999999982E-2</v>
      </c>
      <c r="B43">
        <f>Model!$B$34*ERFC(A43/(2*(Model!$B$59*Model!$B$39*Model!$B$58)^0.5))</f>
        <v>9.6668166585420767E-2</v>
      </c>
      <c r="C43">
        <f t="shared" si="0"/>
        <v>32.799999999999983</v>
      </c>
    </row>
    <row r="44" spans="1:3">
      <c r="A44">
        <f>Model!$B$56/50000+A43</f>
        <v>3.3599999999999984E-2</v>
      </c>
      <c r="B44">
        <f>Model!$B$34*ERFC(A44/(2*(Model!$B$59*Model!$B$39*Model!$B$58)^0.5))</f>
        <v>8.0340511750740529E-2</v>
      </c>
      <c r="C44">
        <f t="shared" si="0"/>
        <v>33.599999999999987</v>
      </c>
    </row>
    <row r="45" spans="1:3">
      <c r="A45">
        <f>Model!$B$56/50000+A44</f>
        <v>3.4399999999999986E-2</v>
      </c>
      <c r="B45">
        <f>Model!$B$34*ERFC(A45/(2*(Model!$B$59*Model!$B$39*Model!$B$58)^0.5))</f>
        <v>6.6527194404741863E-2</v>
      </c>
      <c r="C45">
        <f t="shared" si="0"/>
        <v>34.399999999999984</v>
      </c>
    </row>
    <row r="46" spans="1:3">
      <c r="A46">
        <f>Model!$B$56/50000+A45</f>
        <v>3.5199999999999988E-2</v>
      </c>
      <c r="B46">
        <f>Model!$B$34*ERFC(A46/(2*(Model!$B$59*Model!$B$39*Model!$B$58)^0.5))</f>
        <v>5.4887465219950471E-2</v>
      </c>
      <c r="C46">
        <f t="shared" si="0"/>
        <v>35.199999999999989</v>
      </c>
    </row>
    <row r="47" spans="1:3">
      <c r="A47">
        <f>Model!$B$56/50000+A46</f>
        <v>3.599999999999999E-2</v>
      </c>
      <c r="B47">
        <f>Model!$B$34*ERFC(A47/(2*(Model!$B$59*Model!$B$39*Model!$B$58)^0.5))</f>
        <v>4.5118268409397588E-2</v>
      </c>
      <c r="C47">
        <f t="shared" si="0"/>
        <v>35.999999999999993</v>
      </c>
    </row>
    <row r="48" spans="1:3">
      <c r="A48">
        <f>Model!$B$56/50000+A47</f>
        <v>3.6799999999999992E-2</v>
      </c>
      <c r="B48">
        <f>Model!$B$34*ERFC(A48/(2*(Model!$B$59*Model!$B$39*Model!$B$58)^0.5))</f>
        <v>3.6951589568704479E-2</v>
      </c>
      <c r="C48">
        <f t="shared" si="0"/>
        <v>36.79999999999999</v>
      </c>
    </row>
    <row r="49" spans="1:3">
      <c r="A49">
        <f>Model!$B$56/50000+A48</f>
        <v>3.7599999999999995E-2</v>
      </c>
      <c r="B49">
        <f>Model!$B$34*ERFC(A49/(2*(Model!$B$59*Model!$B$39*Model!$B$58)^0.5))</f>
        <v>3.0151683475444502E-2</v>
      </c>
      <c r="C49">
        <f t="shared" si="0"/>
        <v>37.599999999999994</v>
      </c>
    </row>
    <row r="50" spans="1:3">
      <c r="A50">
        <f>Model!$B$56/50000+A49</f>
        <v>3.8399999999999997E-2</v>
      </c>
      <c r="B50">
        <f>Model!$B$34*ERFC(A50/(2*(Model!$B$59*Model!$B$39*Model!$B$58)^0.5))</f>
        <v>2.4512305922900213E-2</v>
      </c>
      <c r="C50">
        <f t="shared" si="0"/>
        <v>38.4</v>
      </c>
    </row>
    <row r="51" spans="1:3">
      <c r="A51">
        <f>Model!$B$56/50000+A50</f>
        <v>3.9199999999999999E-2</v>
      </c>
      <c r="B51">
        <f>Model!$B$34*ERFC(A51/(2*(Model!$B$59*Model!$B$39*Model!$B$58)^0.5))</f>
        <v>1.9853975997787821E-2</v>
      </c>
      <c r="C51">
        <f t="shared" si="0"/>
        <v>39.199999999999996</v>
      </c>
    </row>
    <row r="52" spans="1:3">
      <c r="A52">
        <f>Model!$B$56/50000+A51</f>
        <v>0.04</v>
      </c>
      <c r="B52">
        <f>Model!$B$34*ERFC(A52/(2*(Model!$B$59*Model!$B$39*Model!$B$58)^0.5))</f>
        <v>1.6021318099609383E-2</v>
      </c>
      <c r="C52">
        <f t="shared" si="0"/>
        <v>40</v>
      </c>
    </row>
    <row r="55" spans="1:3">
      <c r="B55" t="s">
        <v>86</v>
      </c>
      <c r="C55" t="s">
        <v>87</v>
      </c>
    </row>
    <row r="56" spans="1:3">
      <c r="A56" t="s">
        <v>4</v>
      </c>
      <c r="B56">
        <f>6.433*10^(-15)*EXP(10.5*Model!$B$30)</f>
        <v>3.4773510327428004E-13</v>
      </c>
      <c r="C56">
        <f>(1-Model!$B$33)*Column_B!B56</f>
        <v>1.3909404130971203E-13</v>
      </c>
    </row>
    <row r="57" spans="1:3">
      <c r="A57" t="s">
        <v>5</v>
      </c>
      <c r="B57">
        <f>2.73*10^(-15)*EXP(11.95*Model!$B$30)</f>
        <v>2.5603178814107214E-13</v>
      </c>
      <c r="C57">
        <f>(1-Model!$B$33)*Column_B!B57</f>
        <v>1.0241271525642885E-13</v>
      </c>
    </row>
    <row r="58" spans="1:3">
      <c r="A58" t="s">
        <v>6</v>
      </c>
      <c r="B58">
        <f>0.29*10^(-15)*EXP(15*Model!$B$30)</f>
        <v>8.6671546280447484E-14</v>
      </c>
      <c r="C58">
        <f>(1-Model!$B$33)*Column_B!B58</f>
        <v>3.4668618512178995E-14</v>
      </c>
    </row>
    <row r="59" spans="1:3">
      <c r="A59" t="s">
        <v>7</v>
      </c>
      <c r="B59">
        <f>19.1*10^(-15)*EXP(7.13*Model!$B$30)</f>
        <v>2.8688697849703637E-13</v>
      </c>
      <c r="C59">
        <f>(1-Model!$B$33)*Column_B!B59</f>
        <v>1.1475479139881454E-13</v>
      </c>
    </row>
    <row r="60" spans="1:3">
      <c r="A60" t="s">
        <v>8</v>
      </c>
      <c r="B60">
        <f>8.1*10^(-15)*EXP(9.24*Model!$B$30)</f>
        <v>2.7125628136116297E-13</v>
      </c>
      <c r="C60">
        <f>(1-Model!$B$33)*Column_B!B60</f>
        <v>1.0850251254446519E-13</v>
      </c>
    </row>
    <row r="61" spans="1:3">
      <c r="A61" t="s">
        <v>9</v>
      </c>
      <c r="B61">
        <f>1.2*10^(-15)*EXP(8.4*Model!$B$30)</f>
        <v>2.9204463488683688E-14</v>
      </c>
      <c r="C61">
        <f>(1-Model!$B$33)*Column_B!B61</f>
        <v>1.1681785395473476E-14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"/>
  <sheetViews>
    <sheetView topLeftCell="A43" workbookViewId="0">
      <selection activeCell="E59" sqref="E59"/>
    </sheetView>
  </sheetViews>
  <sheetFormatPr defaultRowHeight="15"/>
  <cols>
    <col min="1" max="1" width="12" bestFit="1" customWidth="1"/>
    <col min="2" max="2" width="16.28515625" bestFit="1" customWidth="1"/>
    <col min="3" max="3" width="12" bestFit="1" customWidth="1"/>
    <col min="4" max="7" width="12" customWidth="1"/>
    <col min="9" max="9" width="16.28515625" bestFit="1" customWidth="1"/>
    <col min="11" max="11" width="16.28515625" bestFit="1" customWidth="1"/>
    <col min="12" max="12" width="17.7109375" customWidth="1"/>
  </cols>
  <sheetData>
    <row r="1" spans="1:12">
      <c r="A1" s="5" t="s">
        <v>11</v>
      </c>
      <c r="B1" s="5" t="s">
        <v>10</v>
      </c>
      <c r="C1" s="5" t="s">
        <v>12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>
        <v>0</v>
      </c>
      <c r="B2">
        <f>Model!$C$34*ERFC(A2/(2*(Model!$C$59*Model!$C$39*Model!$C$58)^0.5))</f>
        <v>10</v>
      </c>
      <c r="C2">
        <f>A2*1000</f>
        <v>0</v>
      </c>
    </row>
    <row r="3" spans="1:12">
      <c r="A3">
        <f>Model!$C$56/50000</f>
        <v>8.0000000000000004E-4</v>
      </c>
      <c r="B3">
        <f>Model!$C$34*ERFC(A3/(2*(Model!$C$59*Model!$C$39*Model!$C$58)^0.5))</f>
        <v>9.7380432792348763</v>
      </c>
      <c r="C3">
        <f t="shared" ref="C3:C52" si="0">A3*1000</f>
        <v>0.8</v>
      </c>
    </row>
    <row r="4" spans="1:12">
      <c r="A4">
        <f>Model!$C$56/50000+A3</f>
        <v>1.6000000000000001E-3</v>
      </c>
      <c r="B4">
        <f>Model!$C$34*ERFC(A4/(2*(Model!$C$59*Model!$C$39*Model!$C$58)^0.5))</f>
        <v>9.4763688458479489</v>
      </c>
      <c r="C4">
        <f t="shared" si="0"/>
        <v>1.6</v>
      </c>
    </row>
    <row r="5" spans="1:12">
      <c r="A5">
        <f>Model!$C$56/50000+A4</f>
        <v>2.4000000000000002E-3</v>
      </c>
      <c r="B5">
        <f>Model!$C$34*ERFC(A5/(2*(Model!$C$59*Model!$C$39*Model!$C$58)^0.5))</f>
        <v>9.2152580749796655</v>
      </c>
      <c r="C5">
        <f t="shared" si="0"/>
        <v>2.4000000000000004</v>
      </c>
    </row>
    <row r="6" spans="1:12">
      <c r="A6">
        <f>Model!$C$56/50000+A5</f>
        <v>3.2000000000000002E-3</v>
      </c>
      <c r="B6">
        <f>Model!$C$34*ERFC(A6/(2*(Model!$C$59*Model!$C$39*Model!$C$58)^0.5))</f>
        <v>8.9549905222191164</v>
      </c>
      <c r="C6">
        <f t="shared" si="0"/>
        <v>3.2</v>
      </c>
    </row>
    <row r="7" spans="1:12">
      <c r="A7">
        <f>Model!$C$56/50000+A6</f>
        <v>4.0000000000000001E-3</v>
      </c>
      <c r="B7">
        <f>Model!$C$34*ERFC(A7/(2*(Model!$C$59*Model!$C$39*Model!$C$58)^0.5))</f>
        <v>8.6958430263657931</v>
      </c>
      <c r="C7">
        <f t="shared" si="0"/>
        <v>4</v>
      </c>
    </row>
    <row r="8" spans="1:12">
      <c r="A8">
        <f>Model!$C$56/50000+A7</f>
        <v>4.8000000000000004E-3</v>
      </c>
      <c r="B8">
        <f>Model!$C$34*ERFC(A8/(2*(Model!$C$59*Model!$C$39*Model!$C$58)^0.5))</f>
        <v>8.4380888237485294</v>
      </c>
      <c r="C8">
        <f t="shared" si="0"/>
        <v>4.8000000000000007</v>
      </c>
    </row>
    <row r="9" spans="1:12">
      <c r="A9">
        <f>Model!$C$56/50000+A8</f>
        <v>5.6000000000000008E-3</v>
      </c>
      <c r="B9">
        <f>Model!$C$34*ERFC(A9/(2*(Model!$C$59*Model!$C$39*Model!$C$58)^0.5))</f>
        <v>8.1819966908373161</v>
      </c>
      <c r="C9">
        <f t="shared" si="0"/>
        <v>5.6000000000000005</v>
      </c>
    </row>
    <row r="10" spans="1:12">
      <c r="A10">
        <f>Model!$C$56/50000+A9</f>
        <v>6.4000000000000012E-3</v>
      </c>
      <c r="B10">
        <f>Model!$C$34*ERFC(A10/(2*(Model!$C$59*Model!$C$39*Model!$C$58)^0.5))</f>
        <v>7.9278300976971856</v>
      </c>
      <c r="C10">
        <f t="shared" si="0"/>
        <v>6.4000000000000012</v>
      </c>
    </row>
    <row r="11" spans="1:12">
      <c r="A11">
        <f>Model!$C$56/50000+A10</f>
        <v>7.2000000000000015E-3</v>
      </c>
      <c r="B11">
        <f>Model!$C$34*ERFC(A11/(2*(Model!$C$59*Model!$C$39*Model!$C$58)^0.5))</f>
        <v>7.6758463999951134</v>
      </c>
      <c r="C11">
        <f t="shared" si="0"/>
        <v>7.200000000000002</v>
      </c>
    </row>
    <row r="12" spans="1:12">
      <c r="A12">
        <f>Model!$C$56/50000+A11</f>
        <v>8.0000000000000019E-3</v>
      </c>
      <c r="B12">
        <f>Model!$C$34*ERFC(A12/(2*(Model!$C$59*Model!$C$39*Model!$C$58)^0.5))</f>
        <v>7.4262960593318379</v>
      </c>
      <c r="C12">
        <f t="shared" si="0"/>
        <v>8.0000000000000018</v>
      </c>
    </row>
    <row r="13" spans="1:12">
      <c r="A13">
        <f>Model!$C$56/50000+A12</f>
        <v>8.8000000000000023E-3</v>
      </c>
      <c r="B13">
        <f>Model!$C$34*ERFC(A13/(2*(Model!$C$59*Model!$C$39*Model!$C$58)^0.5))</f>
        <v>7.1794219009538658</v>
      </c>
      <c r="C13">
        <f t="shared" si="0"/>
        <v>8.8000000000000025</v>
      </c>
    </row>
    <row r="14" spans="1:12">
      <c r="A14">
        <f>Model!$C$56/50000+A13</f>
        <v>9.6000000000000026E-3</v>
      </c>
      <c r="B14">
        <f>Model!$C$34*ERFC(A14/(2*(Model!$C$59*Model!$C$39*Model!$C$58)^0.5))</f>
        <v>6.9354583867931723</v>
      </c>
      <c r="C14">
        <f t="shared" si="0"/>
        <v>9.6000000000000032</v>
      </c>
    </row>
    <row r="15" spans="1:12">
      <c r="A15">
        <f>Model!$C$56/50000+A14</f>
        <v>1.0400000000000003E-2</v>
      </c>
      <c r="B15">
        <f>Model!$C$34*ERFC(A15/(2*(Model!$C$59*Model!$C$39*Model!$C$58)^0.5))</f>
        <v>6.6946310243131402</v>
      </c>
      <c r="C15">
        <f t="shared" si="0"/>
        <v>10.400000000000002</v>
      </c>
    </row>
    <row r="16" spans="1:12">
      <c r="A16">
        <f>Model!$C$56/50000+A15</f>
        <v>1.1200000000000003E-2</v>
      </c>
      <c r="B16">
        <f>Model!$C$34*ERFC(A16/(2*(Model!$C$59*Model!$C$39*Model!$C$58)^0.5))</f>
        <v>6.4571556712422478</v>
      </c>
      <c r="C16">
        <f t="shared" si="0"/>
        <v>11.200000000000003</v>
      </c>
    </row>
    <row r="17" spans="1:3">
      <c r="A17">
        <f>Model!$C$56/50000+A16</f>
        <v>1.2000000000000004E-2</v>
      </c>
      <c r="B17">
        <f>Model!$C$34*ERFC(A17/(2*(Model!$C$59*Model!$C$39*Model!$C$58)^0.5))</f>
        <v>6.2232380169999875</v>
      </c>
      <c r="C17">
        <f t="shared" si="0"/>
        <v>12.000000000000004</v>
      </c>
    </row>
    <row r="18" spans="1:3">
      <c r="A18">
        <f>Model!$C$56/50000+A17</f>
        <v>1.2800000000000004E-2</v>
      </c>
      <c r="B18">
        <f>Model!$C$34*ERFC(A18/(2*(Model!$C$59*Model!$C$39*Model!$C$58)^0.5))</f>
        <v>5.9930730602865356</v>
      </c>
      <c r="C18">
        <f t="shared" si="0"/>
        <v>12.800000000000004</v>
      </c>
    </row>
    <row r="19" spans="1:3">
      <c r="A19">
        <f>Model!$C$56/50000+A18</f>
        <v>1.3600000000000004E-2</v>
      </c>
      <c r="B19">
        <f>Model!$C$34*ERFC(A19/(2*(Model!$C$59*Model!$C$39*Model!$C$58)^0.5))</f>
        <v>5.7668446502194461</v>
      </c>
      <c r="C19">
        <f t="shared" si="0"/>
        <v>13.600000000000005</v>
      </c>
    </row>
    <row r="20" spans="1:3">
      <c r="A20">
        <f>Model!$C$56/50000+A19</f>
        <v>1.4400000000000005E-2</v>
      </c>
      <c r="B20">
        <f>Model!$C$34*ERFC(A20/(2*(Model!$C$59*Model!$C$39*Model!$C$58)^0.5))</f>
        <v>5.5447250297086921</v>
      </c>
      <c r="C20">
        <f t="shared" si="0"/>
        <v>14.400000000000006</v>
      </c>
    </row>
    <row r="21" spans="1:3">
      <c r="A21">
        <f>Model!$C$56/50000+A20</f>
        <v>1.5200000000000005E-2</v>
      </c>
      <c r="B21">
        <f>Model!$C$34*ERFC(A21/(2*(Model!$C$59*Model!$C$39*Model!$C$58)^0.5))</f>
        <v>5.3268746500836155</v>
      </c>
      <c r="C21">
        <f t="shared" si="0"/>
        <v>15.200000000000005</v>
      </c>
    </row>
    <row r="22" spans="1:3">
      <c r="A22">
        <f>Model!$C$56/50000+A21</f>
        <v>1.6000000000000004E-2</v>
      </c>
      <c r="B22">
        <f>Model!$C$34*ERFC(A22/(2*(Model!$C$59*Model!$C$39*Model!$C$58)^0.5))</f>
        <v>5.1134416763405897</v>
      </c>
      <c r="C22">
        <f t="shared" si="0"/>
        <v>16.000000000000004</v>
      </c>
    </row>
    <row r="23" spans="1:3">
      <c r="A23">
        <f>Model!$C$56/50000+A22</f>
        <v>1.6800000000000002E-2</v>
      </c>
      <c r="B23">
        <f>Model!$C$34*ERFC(A23/(2*(Model!$C$59*Model!$C$39*Model!$C$58)^0.5))</f>
        <v>4.9045618711064058</v>
      </c>
      <c r="C23">
        <f t="shared" si="0"/>
        <v>16.8</v>
      </c>
    </row>
    <row r="24" spans="1:3">
      <c r="A24">
        <f>Model!$C$56/50000+A23</f>
        <v>1.7600000000000001E-2</v>
      </c>
      <c r="B24">
        <f>Model!$C$34*ERFC(A24/(2*(Model!$C$59*Model!$C$39*Model!$C$58)^0.5))</f>
        <v>4.7003583934989779</v>
      </c>
      <c r="C24">
        <f t="shared" si="0"/>
        <v>17.600000000000001</v>
      </c>
    </row>
    <row r="25" spans="1:3">
      <c r="A25">
        <f>Model!$C$56/50000+A24</f>
        <v>1.84E-2</v>
      </c>
      <c r="B25">
        <f>Model!$C$34*ERFC(A25/(2*(Model!$C$59*Model!$C$39*Model!$C$58)^0.5))</f>
        <v>4.5009416815591567</v>
      </c>
      <c r="C25">
        <f t="shared" si="0"/>
        <v>18.399999999999999</v>
      </c>
    </row>
    <row r="26" spans="1:3">
      <c r="A26">
        <f>Model!$C$56/50000+A25</f>
        <v>1.9199999999999998E-2</v>
      </c>
      <c r="B26">
        <f>Model!$C$34*ERFC(A26/(2*(Model!$C$59*Model!$C$39*Model!$C$58)^0.5))</f>
        <v>4.3064093108425938</v>
      </c>
      <c r="C26">
        <f t="shared" si="0"/>
        <v>19.2</v>
      </c>
    </row>
    <row r="27" spans="1:3">
      <c r="A27">
        <f>Model!$C$56/50000+A26</f>
        <v>1.9999999999999997E-2</v>
      </c>
      <c r="B27">
        <f>Model!$C$34*ERFC(A27/(2*(Model!$C$59*Model!$C$39*Model!$C$58)^0.5))</f>
        <v>4.1168462502308847</v>
      </c>
      <c r="C27">
        <f t="shared" si="0"/>
        <v>19.999999999999996</v>
      </c>
    </row>
    <row r="28" spans="1:3">
      <c r="A28">
        <f>Model!$C$56/50000+A27</f>
        <v>2.0799999999999996E-2</v>
      </c>
      <c r="B28">
        <f>Model!$C$34*ERFC(A28/(2*(Model!$C$59*Model!$C$39*Model!$C$58)^0.5))</f>
        <v>3.9323245757016578</v>
      </c>
      <c r="C28">
        <f t="shared" si="0"/>
        <v>20.799999999999997</v>
      </c>
    </row>
    <row r="29" spans="1:3">
      <c r="A29">
        <f>Model!$C$56/50000+A28</f>
        <v>2.1599999999999994E-2</v>
      </c>
      <c r="B29">
        <f>Model!$C$34*ERFC(A29/(2*(Model!$C$59*Model!$C$39*Model!$C$58)^0.5))</f>
        <v>3.7529037690954778</v>
      </c>
      <c r="C29">
        <f t="shared" si="0"/>
        <v>21.599999999999994</v>
      </c>
    </row>
    <row r="30" spans="1:3">
      <c r="A30">
        <f>Model!$C$56/50000+A29</f>
        <v>2.2399999999999993E-2</v>
      </c>
      <c r="B30">
        <f>Model!$C$34*ERFC(A30/(2*(Model!$C$59*Model!$C$39*Model!$C$58)^0.5))</f>
        <v>3.5786308276514891</v>
      </c>
      <c r="C30">
        <f t="shared" si="0"/>
        <v>22.399999999999991</v>
      </c>
    </row>
    <row r="31" spans="1:3">
      <c r="A31">
        <f>Model!$C$56/50000+A30</f>
        <v>2.3199999999999991E-2</v>
      </c>
      <c r="B31">
        <f>Model!$C$34*ERFC(A31/(2*(Model!$C$59*Model!$C$39*Model!$C$58)^0.5))</f>
        <v>3.4095404665149043</v>
      </c>
      <c r="C31">
        <f t="shared" si="0"/>
        <v>23.199999999999992</v>
      </c>
    </row>
    <row r="32" spans="1:3">
      <c r="A32">
        <f>Model!$C$56/50000+A31</f>
        <v>2.399999999999999E-2</v>
      </c>
      <c r="B32">
        <f>Model!$C$34*ERFC(A32/(2*(Model!$C$59*Model!$C$39*Model!$C$58)^0.5))</f>
        <v>3.2456553679458091</v>
      </c>
      <c r="C32">
        <f t="shared" si="0"/>
        <v>23.999999999999989</v>
      </c>
    </row>
    <row r="33" spans="1:3">
      <c r="A33">
        <f>Model!$C$56/50000+A32</f>
        <v>2.4799999999999989E-2</v>
      </c>
      <c r="B33">
        <f>Model!$C$34*ERFC(A33/(2*(Model!$C$59*Model!$C$39*Model!$C$58)^0.5))</f>
        <v>3.0869892667987511</v>
      </c>
      <c r="C33">
        <f t="shared" si="0"/>
        <v>24.79999999999999</v>
      </c>
    </row>
    <row r="34" spans="1:3">
      <c r="A34">
        <f>Model!$C$56/50000+A33</f>
        <v>2.5599999999999987E-2</v>
      </c>
      <c r="B34">
        <f>Model!$C$34*ERFC(A34/(2*(Model!$C$59*Model!$C$39*Model!$C$58)^0.5))</f>
        <v>2.9335353638255004</v>
      </c>
      <c r="C34">
        <f t="shared" si="0"/>
        <v>25.599999999999987</v>
      </c>
    </row>
    <row r="35" spans="1:3">
      <c r="A35">
        <f>Model!$C$56/50000+A34</f>
        <v>2.6399999999999986E-2</v>
      </c>
      <c r="B35">
        <f>Model!$C$34*ERFC(A35/(2*(Model!$C$59*Model!$C$39*Model!$C$58)^0.5))</f>
        <v>2.7852858044682827</v>
      </c>
      <c r="C35">
        <f t="shared" si="0"/>
        <v>26.399999999999984</v>
      </c>
    </row>
    <row r="36" spans="1:3">
      <c r="A36">
        <f>Model!$C$56/50000+A35</f>
        <v>2.7199999999999985E-2</v>
      </c>
      <c r="B36">
        <f>Model!$C$34*ERFC(A36/(2*(Model!$C$59*Model!$C$39*Model!$C$58)^0.5))</f>
        <v>2.6422183832130495</v>
      </c>
      <c r="C36">
        <f t="shared" si="0"/>
        <v>27.199999999999985</v>
      </c>
    </row>
    <row r="37" spans="1:3">
      <c r="A37">
        <f>Model!$C$56/50000+A36</f>
        <v>2.7999999999999983E-2</v>
      </c>
      <c r="B37">
        <f>Model!$C$34*ERFC(A37/(2*(Model!$C$59*Model!$C$39*Model!$C$58)^0.5))</f>
        <v>2.5043012253353192</v>
      </c>
      <c r="C37">
        <f t="shared" si="0"/>
        <v>27.999999999999982</v>
      </c>
    </row>
    <row r="38" spans="1:3">
      <c r="A38">
        <f>Model!$C$56/50000+A37</f>
        <v>2.8799999999999982E-2</v>
      </c>
      <c r="B38">
        <f>Model!$C$34*ERFC(A38/(2*(Model!$C$59*Model!$C$39*Model!$C$58)^0.5))</f>
        <v>2.3714911503275959</v>
      </c>
      <c r="C38">
        <f t="shared" si="0"/>
        <v>28.799999999999983</v>
      </c>
    </row>
    <row r="39" spans="1:3">
      <c r="A39">
        <f>Model!$C$56/50000+A38</f>
        <v>2.959999999999998E-2</v>
      </c>
      <c r="B39">
        <f>Model!$C$34*ERFC(A39/(2*(Model!$C$59*Model!$C$39*Model!$C$58)^0.5))</f>
        <v>2.2437373777068159</v>
      </c>
      <c r="C39">
        <f t="shared" si="0"/>
        <v>29.59999999999998</v>
      </c>
    </row>
    <row r="40" spans="1:3">
      <c r="A40">
        <f>Model!$C$56/50000+A39</f>
        <v>3.0399999999999979E-2</v>
      </c>
      <c r="B40">
        <f>Model!$C$34*ERFC(A40/(2*(Model!$C$59*Model!$C$39*Model!$C$58)^0.5))</f>
        <v>2.1209793933118681</v>
      </c>
      <c r="C40">
        <f t="shared" si="0"/>
        <v>30.399999999999981</v>
      </c>
    </row>
    <row r="41" spans="1:3">
      <c r="A41">
        <f>Model!$C$56/50000+A40</f>
        <v>3.1199999999999978E-2</v>
      </c>
      <c r="B41">
        <f>Model!$C$34*ERFC(A41/(2*(Model!$C$59*Model!$C$39*Model!$C$58)^0.5))</f>
        <v>2.0031497769732862</v>
      </c>
      <c r="C41">
        <f t="shared" si="0"/>
        <v>31.199999999999978</v>
      </c>
    </row>
    <row r="42" spans="1:3">
      <c r="A42">
        <f>Model!$C$56/50000+A41</f>
        <v>3.199999999999998E-2</v>
      </c>
      <c r="B42">
        <f>Model!$C$34*ERFC(A42/(2*(Model!$C$59*Model!$C$39*Model!$C$58)^0.5))</f>
        <v>1.8901721345055833</v>
      </c>
      <c r="C42">
        <f t="shared" si="0"/>
        <v>31.999999999999979</v>
      </c>
    </row>
    <row r="43" spans="1:3">
      <c r="A43">
        <f>Model!$C$56/50000+A42</f>
        <v>3.2799999999999982E-2</v>
      </c>
      <c r="B43">
        <f>Model!$C$34*ERFC(A43/(2*(Model!$C$59*Model!$C$39*Model!$C$58)^0.5))</f>
        <v>1.78196340538885</v>
      </c>
      <c r="C43">
        <f t="shared" si="0"/>
        <v>32.799999999999983</v>
      </c>
    </row>
    <row r="44" spans="1:3">
      <c r="A44">
        <f>Model!$C$56/50000+A43</f>
        <v>3.3599999999999984E-2</v>
      </c>
      <c r="B44">
        <f>Model!$C$34*ERFC(A44/(2*(Model!$C$59*Model!$C$39*Model!$C$58)^0.5))</f>
        <v>1.6784336575942616</v>
      </c>
      <c r="C44">
        <f t="shared" si="0"/>
        <v>33.599999999999987</v>
      </c>
    </row>
    <row r="45" spans="1:3">
      <c r="A45">
        <f>Model!$C$56/50000+A44</f>
        <v>3.4399999999999986E-2</v>
      </c>
      <c r="B45">
        <f>Model!$C$34*ERFC(A45/(2*(Model!$C$59*Model!$C$39*Model!$C$58)^0.5))</f>
        <v>1.5794878932227441</v>
      </c>
      <c r="C45">
        <f t="shared" si="0"/>
        <v>34.399999999999984</v>
      </c>
    </row>
    <row r="46" spans="1:3">
      <c r="A46">
        <f>Model!$C$56/50000+A45</f>
        <v>3.5199999999999988E-2</v>
      </c>
      <c r="B46">
        <f>Model!$C$34*ERFC(A46/(2*(Model!$C$59*Model!$C$39*Model!$C$58)^0.5))</f>
        <v>1.4850247844464948</v>
      </c>
      <c r="C46">
        <f t="shared" si="0"/>
        <v>35.199999999999989</v>
      </c>
    </row>
    <row r="47" spans="1:3">
      <c r="A47">
        <f>Model!$C$56/50000+A46</f>
        <v>3.599999999999999E-2</v>
      </c>
      <c r="B47">
        <f>Model!$C$34*ERFC(A47/(2*(Model!$C$59*Model!$C$39*Model!$C$58)^0.5))</f>
        <v>1.394938158815664</v>
      </c>
      <c r="C47">
        <f t="shared" si="0"/>
        <v>35.999999999999993</v>
      </c>
    </row>
    <row r="48" spans="1:3">
      <c r="A48">
        <f>Model!$C$56/50000+A47</f>
        <v>3.6799999999999992E-2</v>
      </c>
      <c r="B48">
        <f>Model!$C$34*ERFC(A48/(2*(Model!$C$59*Model!$C$39*Model!$C$58)^0.5))</f>
        <v>1.3091183249902971</v>
      </c>
      <c r="C48">
        <f t="shared" si="0"/>
        <v>36.79999999999999</v>
      </c>
    </row>
    <row r="49" spans="1:3">
      <c r="A49">
        <f>Model!$C$56/50000+A48</f>
        <v>3.7599999999999995E-2</v>
      </c>
      <c r="B49">
        <f>Model!$C$34*ERFC(A49/(2*(Model!$C$59*Model!$C$39*Model!$C$58)^0.5))</f>
        <v>1.2274508483439872</v>
      </c>
      <c r="C49">
        <f t="shared" si="0"/>
        <v>37.599999999999994</v>
      </c>
    </row>
    <row r="50" spans="1:3">
      <c r="A50">
        <f>Model!$C$56/50000+A49</f>
        <v>3.8399999999999997E-2</v>
      </c>
      <c r="B50">
        <f>Model!$C$34*ERFC(A50/(2*(Model!$C$59*Model!$C$39*Model!$C$58)^0.5))</f>
        <v>1.149818968998837</v>
      </c>
      <c r="C50">
        <f t="shared" si="0"/>
        <v>38.4</v>
      </c>
    </row>
    <row r="51" spans="1:3">
      <c r="A51">
        <f>Model!$C$56/50000+A50</f>
        <v>3.9199999999999999E-2</v>
      </c>
      <c r="B51">
        <f>Model!$C$34*ERFC(A51/(2*(Model!$C$59*Model!$C$39*Model!$C$58)^0.5))</f>
        <v>1.0761024159436894</v>
      </c>
      <c r="C51">
        <f t="shared" si="0"/>
        <v>39.199999999999996</v>
      </c>
    </row>
    <row r="52" spans="1:3">
      <c r="A52">
        <f>Model!$C$56/50000+A51</f>
        <v>0.04</v>
      </c>
      <c r="B52">
        <f>Model!$C$34*ERFC(A52/(2*(Model!$C$59*Model!$C$39*Model!$C$58)^0.5))</f>
        <v>1.0061795036362386</v>
      </c>
      <c r="C52">
        <f t="shared" si="0"/>
        <v>40</v>
      </c>
    </row>
    <row r="55" spans="1:3">
      <c r="B55" t="s">
        <v>86</v>
      </c>
      <c r="C55" t="s">
        <v>87</v>
      </c>
    </row>
    <row r="56" spans="1:3">
      <c r="A56" t="s">
        <v>4</v>
      </c>
      <c r="B56">
        <f>6.433*10^(-15)*EXP(10.5*Model!$C$30)</f>
        <v>3.4773510327428004E-13</v>
      </c>
      <c r="C56">
        <f>(1-Model!$C$33)*Column_C!B56</f>
        <v>2.0864106196456801E-13</v>
      </c>
    </row>
    <row r="57" spans="1:3">
      <c r="A57" t="s">
        <v>5</v>
      </c>
      <c r="B57">
        <f>2.73*10^(-15)*EXP(11.95*Model!$C$30)</f>
        <v>2.5603178814107214E-13</v>
      </c>
      <c r="C57">
        <f>(1-Model!$C$33)*Column_C!B57</f>
        <v>1.5361907288464328E-13</v>
      </c>
    </row>
    <row r="58" spans="1:3">
      <c r="A58" t="s">
        <v>6</v>
      </c>
      <c r="B58">
        <f>0.29*10^(-15)*EXP(15*Model!$C$30)</f>
        <v>8.6671546280447484E-14</v>
      </c>
      <c r="C58">
        <f>(1-Model!$C$33)*Column_C!B58</f>
        <v>5.2002927768268489E-14</v>
      </c>
    </row>
    <row r="59" spans="1:3">
      <c r="A59" t="s">
        <v>7</v>
      </c>
      <c r="B59">
        <f>19.1*10^(-15)*EXP(7.13*Model!$C$30)</f>
        <v>2.8688697849703637E-13</v>
      </c>
      <c r="C59">
        <f>(1-Model!$C$33)*Column_C!B59</f>
        <v>1.7213218709822183E-13</v>
      </c>
    </row>
    <row r="60" spans="1:3">
      <c r="A60" t="s">
        <v>8</v>
      </c>
      <c r="B60">
        <f>8.1*10^(-15)*EXP(9.24*Model!$C$30)</f>
        <v>2.7125628136116297E-13</v>
      </c>
      <c r="C60">
        <f>(1-Model!$C$33)*Column_C!B60</f>
        <v>1.6275376881669777E-13</v>
      </c>
    </row>
    <row r="61" spans="1:3">
      <c r="A61" t="s">
        <v>9</v>
      </c>
      <c r="B61">
        <f>1.2*10^(-15)*EXP(8.4*Model!$C$30)</f>
        <v>2.9204463488683688E-14</v>
      </c>
      <c r="C61">
        <f>(1-Model!$C$33)*Column_C!B61</f>
        <v>1.7522678093210212E-14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topLeftCell="A43" workbookViewId="0">
      <selection activeCell="E60" sqref="E60"/>
    </sheetView>
  </sheetViews>
  <sheetFormatPr defaultRowHeight="15"/>
  <cols>
    <col min="1" max="1" width="12" bestFit="1" customWidth="1"/>
    <col min="2" max="2" width="16.28515625" bestFit="1" customWidth="1"/>
    <col min="3" max="3" width="12" bestFit="1" customWidth="1"/>
    <col min="4" max="7" width="12" customWidth="1"/>
    <col min="9" max="9" width="16.28515625" bestFit="1" customWidth="1"/>
    <col min="11" max="11" width="16.28515625" bestFit="1" customWidth="1"/>
  </cols>
  <sheetData>
    <row r="1" spans="1:12">
      <c r="A1" s="5" t="s">
        <v>11</v>
      </c>
      <c r="B1" s="5" t="s">
        <v>10</v>
      </c>
      <c r="C1" s="5" t="s">
        <v>12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>
        <v>0</v>
      </c>
      <c r="B2">
        <f>Model!$D$34*ERFC(A2/(2*(Model!$D$59*Model!$D$39*Model!$D$58)^0.5))</f>
        <v>10.3</v>
      </c>
      <c r="C2">
        <f>A2*1000</f>
        <v>0</v>
      </c>
    </row>
    <row r="3" spans="1:12">
      <c r="A3">
        <f>Model!$D$56/50000</f>
        <v>2E-3</v>
      </c>
      <c r="B3">
        <f>Model!$D$34*ERFC(A3/(2*(Model!$D$59*Model!$D$39*Model!$D$58)^0.5))</f>
        <v>10.079494732108644</v>
      </c>
      <c r="C3">
        <f t="shared" ref="C3:C52" si="0">A3*1000</f>
        <v>2</v>
      </c>
    </row>
    <row r="4" spans="1:12">
      <c r="A4">
        <f>Model!$D$56/50000+A3</f>
        <v>4.0000000000000001E-3</v>
      </c>
      <c r="B4">
        <f>Model!$D$34*ERFC(A4/(2*(Model!$D$59*Model!$D$39*Model!$D$58)^0.5))</f>
        <v>9.8591481814789219</v>
      </c>
      <c r="C4">
        <f t="shared" si="0"/>
        <v>4</v>
      </c>
    </row>
    <row r="5" spans="1:12">
      <c r="A5">
        <f>Model!$D$56/50000+A4</f>
        <v>6.0000000000000001E-3</v>
      </c>
      <c r="B5">
        <f>Model!$D$34*ERFC(A5/(2*(Model!$D$59*Model!$D$39*Model!$D$58)^0.5))</f>
        <v>9.6391187227309096</v>
      </c>
      <c r="C5">
        <f t="shared" si="0"/>
        <v>6</v>
      </c>
    </row>
    <row r="6" spans="1:12">
      <c r="A6">
        <f>Model!$D$56/50000+A5</f>
        <v>8.0000000000000002E-3</v>
      </c>
      <c r="B6">
        <f>Model!$D$34*ERFC(A6/(2*(Model!$D$59*Model!$D$39*Model!$D$58)^0.5))</f>
        <v>9.4195640464325905</v>
      </c>
      <c r="C6">
        <f t="shared" si="0"/>
        <v>8</v>
      </c>
    </row>
    <row r="7" spans="1:12">
      <c r="A7">
        <f>Model!$D$56/50000+A6</f>
        <v>0.01</v>
      </c>
      <c r="B7">
        <f>Model!$D$34*ERFC(A7/(2*(Model!$D$59*Model!$D$39*Model!$D$58)^0.5))</f>
        <v>9.2006408202005137</v>
      </c>
      <c r="C7">
        <f t="shared" si="0"/>
        <v>10</v>
      </c>
    </row>
    <row r="8" spans="1:12">
      <c r="A8">
        <f>Model!$D$56/50000+A7</f>
        <v>1.2E-2</v>
      </c>
      <c r="B8">
        <f>Model!$D$34*ERFC(A8/(2*(Model!$D$59*Model!$D$39*Model!$D$58)^0.5))</f>
        <v>8.9825043535858313</v>
      </c>
      <c r="C8">
        <f t="shared" si="0"/>
        <v>12</v>
      </c>
    </row>
    <row r="9" spans="1:12">
      <c r="A9">
        <f>Model!$D$56/50000+A8</f>
        <v>1.4E-2</v>
      </c>
      <c r="B9">
        <f>Model!$D$34*ERFC(A9/(2*(Model!$D$59*Model!$D$39*Model!$D$58)^0.5))</f>
        <v>8.7653082655992645</v>
      </c>
      <c r="C9">
        <f t="shared" si="0"/>
        <v>14</v>
      </c>
    </row>
    <row r="10" spans="1:12">
      <c r="A10">
        <f>Model!$D$56/50000+A9</f>
        <v>1.6E-2</v>
      </c>
      <c r="B10">
        <f>Model!$D$34*ERFC(A10/(2*(Model!$D$59*Model!$D$39*Model!$D$58)^0.5))</f>
        <v>8.5492041654524318</v>
      </c>
      <c r="C10">
        <f t="shared" si="0"/>
        <v>16</v>
      </c>
    </row>
    <row r="11" spans="1:12">
      <c r="A11">
        <f>Model!$D$56/50000+A10</f>
        <v>1.8000000000000002E-2</v>
      </c>
      <c r="B11">
        <f>Model!$D$34*ERFC(A11/(2*(Model!$D$59*Model!$D$39*Model!$D$58)^0.5))</f>
        <v>8.3343413297322471</v>
      </c>
      <c r="C11">
        <f t="shared" si="0"/>
        <v>18.000000000000004</v>
      </c>
    </row>
    <row r="12" spans="1:12">
      <c r="A12">
        <f>Model!$D$56/50000+A11</f>
        <v>2.0000000000000004E-2</v>
      </c>
      <c r="B12">
        <f>Model!$D$34*ERFC(A12/(2*(Model!$D$59*Model!$D$39*Model!$D$58)^0.5))</f>
        <v>8.1208663965352006</v>
      </c>
      <c r="C12">
        <f t="shared" si="0"/>
        <v>20.000000000000004</v>
      </c>
    </row>
    <row r="13" spans="1:12">
      <c r="A13">
        <f>Model!$D$56/50000+A12</f>
        <v>2.2000000000000006E-2</v>
      </c>
      <c r="B13">
        <f>Model!$D$34*ERFC(A13/(2*(Model!$D$59*Model!$D$39*Model!$D$58)^0.5))</f>
        <v>7.9089230653718969</v>
      </c>
      <c r="C13">
        <f t="shared" si="0"/>
        <v>22.000000000000007</v>
      </c>
    </row>
    <row r="14" spans="1:12">
      <c r="A14">
        <f>Model!$D$56/50000+A13</f>
        <v>2.4000000000000007E-2</v>
      </c>
      <c r="B14">
        <f>Model!$D$34*ERFC(A14/(2*(Model!$D$59*Model!$D$39*Model!$D$58)^0.5))</f>
        <v>7.6986518081401929</v>
      </c>
      <c r="C14">
        <f t="shared" si="0"/>
        <v>24.000000000000007</v>
      </c>
    </row>
    <row r="15" spans="1:12">
      <c r="A15">
        <f>Model!$D$56/50000+A14</f>
        <v>2.6000000000000009E-2</v>
      </c>
      <c r="B15">
        <f>Model!$D$34*ERFC(A15/(2*(Model!$D$59*Model!$D$39*Model!$D$58)^0.5))</f>
        <v>7.4901895915585834</v>
      </c>
      <c r="C15">
        <f t="shared" si="0"/>
        <v>26.000000000000011</v>
      </c>
    </row>
    <row r="16" spans="1:12">
      <c r="A16">
        <f>Model!$D$56/50000+A15</f>
        <v>2.8000000000000011E-2</v>
      </c>
      <c r="B16">
        <f>Model!$D$34*ERFC(A16/(2*(Model!$D$59*Model!$D$39*Model!$D$58)^0.5))</f>
        <v>7.2836695965410216</v>
      </c>
      <c r="C16">
        <f t="shared" si="0"/>
        <v>28.000000000000011</v>
      </c>
    </row>
    <row r="17" spans="1:3">
      <c r="A17">
        <f>Model!$D$56/50000+A16</f>
        <v>3.0000000000000013E-2</v>
      </c>
      <c r="B17">
        <f>Model!$D$34*ERFC(A17/(2*(Model!$D$59*Model!$D$39*Model!$D$58)^0.5))</f>
        <v>7.0792210112006098</v>
      </c>
      <c r="C17">
        <f t="shared" si="0"/>
        <v>30.000000000000014</v>
      </c>
    </row>
    <row r="18" spans="1:3">
      <c r="A18">
        <f>Model!$D$56/50000+A17</f>
        <v>3.2000000000000015E-2</v>
      </c>
      <c r="B18">
        <f>Model!$D$34*ERFC(A18/(2*(Model!$D$59*Model!$D$39*Model!$D$58)^0.5))</f>
        <v>6.8769687363445815</v>
      </c>
      <c r="C18">
        <f t="shared" si="0"/>
        <v>32.000000000000014</v>
      </c>
    </row>
    <row r="19" spans="1:3">
      <c r="A19">
        <f>Model!$D$56/50000+A18</f>
        <v>3.4000000000000016E-2</v>
      </c>
      <c r="B19">
        <f>Model!$D$34*ERFC(A19/(2*(Model!$D$59*Model!$D$39*Model!$D$58)^0.5))</f>
        <v>6.6770331932350819</v>
      </c>
      <c r="C19">
        <f t="shared" si="0"/>
        <v>34.000000000000014</v>
      </c>
    </row>
    <row r="20" spans="1:3">
      <c r="A20">
        <f>Model!$D$56/50000+A19</f>
        <v>3.6000000000000018E-2</v>
      </c>
      <c r="B20">
        <f>Model!$D$34*ERFC(A20/(2*(Model!$D$59*Model!$D$39*Model!$D$58)^0.5))</f>
        <v>6.4795301079792349</v>
      </c>
      <c r="C20">
        <f t="shared" si="0"/>
        <v>36.000000000000021</v>
      </c>
    </row>
    <row r="21" spans="1:3">
      <c r="A21">
        <f>Model!$D$56/50000+A20</f>
        <v>3.800000000000002E-2</v>
      </c>
      <c r="B21">
        <f>Model!$D$34*ERFC(A21/(2*(Model!$D$59*Model!$D$39*Model!$D$58)^0.5))</f>
        <v>6.2845703187374449</v>
      </c>
      <c r="C21">
        <f t="shared" si="0"/>
        <v>38.000000000000021</v>
      </c>
    </row>
    <row r="22" spans="1:3">
      <c r="A22">
        <f>Model!$D$56/50000+A21</f>
        <v>4.0000000000000022E-2</v>
      </c>
      <c r="B22">
        <f>Model!$D$34*ERFC(A22/(2*(Model!$D$59*Model!$D$39*Model!$D$58)^0.5))</f>
        <v>6.0922595993555264</v>
      </c>
      <c r="C22">
        <f t="shared" si="0"/>
        <v>40.000000000000021</v>
      </c>
    </row>
    <row r="23" spans="1:3">
      <c r="A23">
        <f>Model!$D$56/50000+A22</f>
        <v>4.2000000000000023E-2</v>
      </c>
      <c r="B23">
        <f>Model!$D$34*ERFC(A23/(2*(Model!$D$59*Model!$D$39*Model!$D$58)^0.5))</f>
        <v>5.9026984998875216</v>
      </c>
      <c r="C23">
        <f t="shared" si="0"/>
        <v>42.000000000000021</v>
      </c>
    </row>
    <row r="24" spans="1:3">
      <c r="A24">
        <f>Model!$D$56/50000+A23</f>
        <v>4.4000000000000025E-2</v>
      </c>
      <c r="B24">
        <f>Model!$D$34*ERFC(A24/(2*(Model!$D$59*Model!$D$39*Model!$D$58)^0.5))</f>
        <v>5.7159821503557886</v>
      </c>
      <c r="C24">
        <f t="shared" si="0"/>
        <v>44.000000000000028</v>
      </c>
    </row>
    <row r="25" spans="1:3">
      <c r="A25">
        <f>Model!$D$56/50000+A24</f>
        <v>4.6000000000000027E-2</v>
      </c>
      <c r="B25">
        <f>Model!$D$34*ERFC(A25/(2*(Model!$D$59*Model!$D$39*Model!$D$58)^0.5))</f>
        <v>5.5322003116874487</v>
      </c>
      <c r="C25">
        <f t="shared" si="0"/>
        <v>46.000000000000028</v>
      </c>
    </row>
    <row r="26" spans="1:3">
      <c r="A26">
        <f>Model!$D$56/50000+A25</f>
        <v>4.8000000000000029E-2</v>
      </c>
      <c r="B26">
        <f>Model!$D$34*ERFC(A26/(2*(Model!$D$59*Model!$D$39*Model!$D$58)^0.5))</f>
        <v>5.3514370404099703</v>
      </c>
      <c r="C26">
        <f t="shared" si="0"/>
        <v>48.000000000000028</v>
      </c>
    </row>
    <row r="27" spans="1:3">
      <c r="A27">
        <f>Model!$D$56/50000+A26</f>
        <v>5.0000000000000031E-2</v>
      </c>
      <c r="B27">
        <f>Model!$D$34*ERFC(A27/(2*(Model!$D$59*Model!$D$39*Model!$D$58)^0.5))</f>
        <v>5.1737707324320654</v>
      </c>
      <c r="C27">
        <f t="shared" si="0"/>
        <v>50.000000000000028</v>
      </c>
    </row>
    <row r="28" spans="1:3">
      <c r="A28">
        <f>Model!$D$56/50000+A27</f>
        <v>5.2000000000000032E-2</v>
      </c>
      <c r="B28">
        <f>Model!$D$34*ERFC(A28/(2*(Model!$D$59*Model!$D$39*Model!$D$58)^0.5))</f>
        <v>4.9992740208201605</v>
      </c>
      <c r="C28">
        <f t="shared" si="0"/>
        <v>52.000000000000036</v>
      </c>
    </row>
    <row r="29" spans="1:3">
      <c r="A29">
        <f>Model!$D$56/50000+A28</f>
        <v>5.4000000000000034E-2</v>
      </c>
      <c r="B29">
        <f>Model!$D$34*ERFC(A29/(2*(Model!$D$59*Model!$D$39*Model!$D$58)^0.5))</f>
        <v>4.8280137213156937</v>
      </c>
      <c r="C29">
        <f t="shared" si="0"/>
        <v>54.000000000000036</v>
      </c>
    </row>
    <row r="30" spans="1:3">
      <c r="A30">
        <f>Model!$D$56/50000+A29</f>
        <v>5.6000000000000036E-2</v>
      </c>
      <c r="B30">
        <f>Model!$D$34*ERFC(A30/(2*(Model!$D$59*Model!$D$39*Model!$D$58)^0.5))</f>
        <v>4.6600507955184964</v>
      </c>
      <c r="C30">
        <f t="shared" si="0"/>
        <v>56.000000000000036</v>
      </c>
    </row>
    <row r="31" spans="1:3">
      <c r="A31">
        <f>Model!$D$56/50000+A30</f>
        <v>5.8000000000000038E-2</v>
      </c>
      <c r="B31">
        <f>Model!$D$34*ERFC(A31/(2*(Model!$D$59*Model!$D$39*Model!$D$58)^0.5))</f>
        <v>4.4954403315824143</v>
      </c>
      <c r="C31">
        <f t="shared" si="0"/>
        <v>58.000000000000036</v>
      </c>
    </row>
    <row r="32" spans="1:3">
      <c r="A32">
        <f>Model!$D$56/50000+A31</f>
        <v>6.0000000000000039E-2</v>
      </c>
      <c r="B32">
        <f>Model!$D$34*ERFC(A32/(2*(Model!$D$59*Model!$D$39*Model!$D$58)^0.5))</f>
        <v>4.3342314288597885</v>
      </c>
      <c r="C32">
        <f t="shared" si="0"/>
        <v>60.000000000000043</v>
      </c>
    </row>
    <row r="33" spans="1:3">
      <c r="A33">
        <f>Model!$D$56/50000+A32</f>
        <v>6.2000000000000041E-2</v>
      </c>
      <c r="B33">
        <f>Model!$D$34*ERFC(A33/(2*(Model!$D$59*Model!$D$39*Model!$D$58)^0.5))</f>
        <v>4.1764675983248543</v>
      </c>
      <c r="C33">
        <f t="shared" si="0"/>
        <v>62.000000000000043</v>
      </c>
    </row>
    <row r="34" spans="1:3">
      <c r="A34">
        <f>Model!$D$56/50000+A33</f>
        <v>6.4000000000000043E-2</v>
      </c>
      <c r="B34">
        <f>Model!$D$34*ERFC(A34/(2*(Model!$D$59*Model!$D$39*Model!$D$58)^0.5))</f>
        <v>4.0221862820871799</v>
      </c>
      <c r="C34">
        <f t="shared" si="0"/>
        <v>64.000000000000043</v>
      </c>
    </row>
    <row r="35" spans="1:3">
      <c r="A35">
        <f>Model!$D$56/50000+A34</f>
        <v>6.6000000000000045E-2</v>
      </c>
      <c r="B35">
        <f>Model!$D$34*ERFC(A35/(2*(Model!$D$59*Model!$D$39*Model!$D$58)^0.5))</f>
        <v>3.8714192062414234</v>
      </c>
      <c r="C35">
        <f t="shared" si="0"/>
        <v>66.000000000000043</v>
      </c>
    </row>
    <row r="36" spans="1:3">
      <c r="A36">
        <f>Model!$D$56/50000+A35</f>
        <v>6.8000000000000047E-2</v>
      </c>
      <c r="B36">
        <f>Model!$D$34*ERFC(A36/(2*(Model!$D$59*Model!$D$39*Model!$D$58)^0.5))</f>
        <v>3.7241923734249305</v>
      </c>
      <c r="C36">
        <f t="shared" si="0"/>
        <v>68.000000000000043</v>
      </c>
    </row>
    <row r="37" spans="1:3">
      <c r="A37">
        <f>Model!$D$56/50000+A36</f>
        <v>7.0000000000000048E-2</v>
      </c>
      <c r="B37">
        <f>Model!$D$34*ERFC(A37/(2*(Model!$D$59*Model!$D$39*Model!$D$58)^0.5))</f>
        <v>3.580526139953383</v>
      </c>
      <c r="C37">
        <f t="shared" si="0"/>
        <v>70.000000000000043</v>
      </c>
    </row>
    <row r="38" spans="1:3">
      <c r="A38">
        <f>Model!$D$56/50000+A37</f>
        <v>7.200000000000005E-2</v>
      </c>
      <c r="B38">
        <f>Model!$D$34*ERFC(A38/(2*(Model!$D$59*Model!$D$39*Model!$D$58)^0.5))</f>
        <v>3.4404353073118079</v>
      </c>
      <c r="C38">
        <f t="shared" si="0"/>
        <v>72.000000000000057</v>
      </c>
    </row>
    <row r="39" spans="1:3">
      <c r="A39">
        <f>Model!$D$56/50000+A38</f>
        <v>7.4000000000000052E-2</v>
      </c>
      <c r="B39">
        <f>Model!$D$34*ERFC(A39/(2*(Model!$D$59*Model!$D$39*Model!$D$58)^0.5))</f>
        <v>3.303929098356257</v>
      </c>
      <c r="C39">
        <f t="shared" si="0"/>
        <v>74.000000000000057</v>
      </c>
    </row>
    <row r="40" spans="1:3">
      <c r="A40">
        <f>Model!$D$56/50000+A39</f>
        <v>7.6000000000000054E-2</v>
      </c>
      <c r="B40">
        <f>Model!$D$34*ERFC(A40/(2*(Model!$D$59*Model!$D$39*Model!$D$58)^0.5))</f>
        <v>3.1710147083549494</v>
      </c>
      <c r="C40">
        <f t="shared" si="0"/>
        <v>76.000000000000057</v>
      </c>
    </row>
    <row r="41" spans="1:3">
      <c r="A41">
        <f>Model!$D$56/50000+A40</f>
        <v>7.8000000000000055E-2</v>
      </c>
      <c r="B41">
        <f>Model!$D$34*ERFC(A41/(2*(Model!$D$59*Model!$D$39*Model!$D$58)^0.5))</f>
        <v>3.0416844911147756</v>
      </c>
      <c r="C41">
        <f t="shared" si="0"/>
        <v>78.000000000000057</v>
      </c>
    </row>
    <row r="42" spans="1:3">
      <c r="A42">
        <f>Model!$D$56/50000+A41</f>
        <v>8.0000000000000057E-2</v>
      </c>
      <c r="B42">
        <f>Model!$D$34*ERFC(A42/(2*(Model!$D$59*Model!$D$39*Model!$D$58)^0.5))</f>
        <v>2.9159356731358081</v>
      </c>
      <c r="C42">
        <f t="shared" si="0"/>
        <v>80.000000000000057</v>
      </c>
    </row>
    <row r="43" spans="1:3">
      <c r="A43">
        <f>Model!$D$56/50000+A42</f>
        <v>8.2000000000000059E-2</v>
      </c>
      <c r="B43">
        <f>Model!$D$34*ERFC(A43/(2*(Model!$D$59*Model!$D$39*Model!$D$58)^0.5))</f>
        <v>2.7937570692018094</v>
      </c>
      <c r="C43">
        <f t="shared" si="0"/>
        <v>82.000000000000057</v>
      </c>
    </row>
    <row r="44" spans="1:3">
      <c r="A44">
        <f>Model!$D$56/50000+A43</f>
        <v>8.4000000000000061E-2</v>
      </c>
      <c r="B44">
        <f>Model!$D$34*ERFC(A44/(2*(Model!$D$59*Model!$D$39*Model!$D$58)^0.5))</f>
        <v>2.6751327505252847</v>
      </c>
      <c r="C44">
        <f t="shared" si="0"/>
        <v>84.000000000000057</v>
      </c>
    </row>
    <row r="45" spans="1:3">
      <c r="A45">
        <f>Model!$D$56/50000+A44</f>
        <v>8.6000000000000063E-2</v>
      </c>
      <c r="B45">
        <f>Model!$D$34*ERFC(A45/(2*(Model!$D$59*Model!$D$39*Model!$D$58)^0.5))</f>
        <v>2.5600422136392837</v>
      </c>
      <c r="C45">
        <f t="shared" si="0"/>
        <v>86.000000000000057</v>
      </c>
    </row>
    <row r="46" spans="1:3">
      <c r="A46">
        <f>Model!$D$56/50000+A45</f>
        <v>8.8000000000000064E-2</v>
      </c>
      <c r="B46">
        <f>Model!$D$34*ERFC(A46/(2*(Model!$D$59*Model!$D$39*Model!$D$58)^0.5))</f>
        <v>2.4484605578438523</v>
      </c>
      <c r="C46">
        <f t="shared" si="0"/>
        <v>88.000000000000071</v>
      </c>
    </row>
    <row r="47" spans="1:3">
      <c r="A47">
        <f>Model!$D$56/50000+A46</f>
        <v>9.0000000000000066E-2</v>
      </c>
      <c r="B47">
        <f>Model!$D$34*ERFC(A47/(2*(Model!$D$59*Model!$D$39*Model!$D$58)^0.5))</f>
        <v>2.3403581651996741</v>
      </c>
      <c r="C47">
        <f t="shared" si="0"/>
        <v>90.000000000000071</v>
      </c>
    </row>
    <row r="48" spans="1:3">
      <c r="A48">
        <f>Model!$D$56/50000+A47</f>
        <v>9.2000000000000068E-2</v>
      </c>
      <c r="B48">
        <f>Model!$D$34*ERFC(A48/(2*(Model!$D$59*Model!$D$39*Model!$D$58)^0.5))</f>
        <v>2.2357028903876013</v>
      </c>
      <c r="C48">
        <f t="shared" si="0"/>
        <v>92.000000000000071</v>
      </c>
    </row>
    <row r="49" spans="1:3">
      <c r="A49">
        <f>Model!$D$56/50000+A48</f>
        <v>9.400000000000007E-2</v>
      </c>
      <c r="B49">
        <f>Model!$D$34*ERFC(A49/(2*(Model!$D$59*Model!$D$39*Model!$D$58)^0.5))</f>
        <v>2.1344572789053067</v>
      </c>
      <c r="C49">
        <f t="shared" si="0"/>
        <v>94.000000000000071</v>
      </c>
    </row>
    <row r="50" spans="1:3">
      <c r="A50">
        <f>Model!$D$56/50000+A49</f>
        <v>9.6000000000000071E-2</v>
      </c>
      <c r="B50">
        <f>Model!$D$34*ERFC(A50/(2*(Model!$D$59*Model!$D$39*Model!$D$58)^0.5))</f>
        <v>2.0365803446667043</v>
      </c>
      <c r="C50">
        <f t="shared" si="0"/>
        <v>96.000000000000071</v>
      </c>
    </row>
    <row r="51" spans="1:3">
      <c r="A51">
        <f>Model!$D$56/50000+A50</f>
        <v>9.8000000000000073E-2</v>
      </c>
      <c r="B51">
        <f>Model!$D$34*ERFC(A51/(2*(Model!$D$59*Model!$D$39*Model!$D$58)^0.5))</f>
        <v>1.9420288574614184</v>
      </c>
      <c r="C51">
        <f t="shared" si="0"/>
        <v>98.000000000000071</v>
      </c>
    </row>
    <row r="52" spans="1:3">
      <c r="A52">
        <f>Model!$D$56/50000+A51</f>
        <v>0.10000000000000007</v>
      </c>
      <c r="B52">
        <f>Model!$D$34*ERFC(A52/(2*(Model!$D$59*Model!$D$39*Model!$D$58)^0.5))</f>
        <v>1.8507552327977066</v>
      </c>
      <c r="C52">
        <f t="shared" si="0"/>
        <v>100.00000000000007</v>
      </c>
    </row>
    <row r="55" spans="1:3">
      <c r="B55" t="s">
        <v>86</v>
      </c>
      <c r="C55" t="s">
        <v>87</v>
      </c>
    </row>
    <row r="56" spans="1:3">
      <c r="A56" t="s">
        <v>4</v>
      </c>
      <c r="B56">
        <f>6.433*10^(-15)*EXP(10.5*Model!$D$30)</f>
        <v>2.0723551485439597E-12</v>
      </c>
      <c r="C56">
        <f>(1-Model!$D$33)*Column_D!B56</f>
        <v>1.4506486039807716E-12</v>
      </c>
    </row>
    <row r="57" spans="1:3">
      <c r="A57" t="s">
        <v>5</v>
      </c>
      <c r="B57">
        <f>2.73*10^(-15)*EXP(11.95*Model!$D$30)</f>
        <v>1.9523745119433703E-12</v>
      </c>
      <c r="C57">
        <f>(1-Model!$D$33)*Column_D!B57</f>
        <v>1.3666621583603591E-12</v>
      </c>
    </row>
    <row r="58" spans="1:3">
      <c r="A58" t="s">
        <v>6</v>
      </c>
      <c r="B58">
        <f>0.29*10^(-15)*EXP(15*Model!$D$30)</f>
        <v>1.1100114882175728E-12</v>
      </c>
      <c r="C58">
        <f>(1-Model!$D$33)*Column_D!B58</f>
        <v>7.7700804175230088E-13</v>
      </c>
    </row>
    <row r="59" spans="1:3">
      <c r="A59" t="s">
        <v>7</v>
      </c>
      <c r="B59">
        <f>19.1*10^(-15)*EXP(7.13*Model!$D$30)</f>
        <v>9.6409355152519303E-13</v>
      </c>
      <c r="C59">
        <f>(1-Model!$D$33)*Column_D!B59</f>
        <v>6.7486548606763504E-13</v>
      </c>
    </row>
    <row r="60" spans="1:3">
      <c r="A60" t="s">
        <v>8</v>
      </c>
      <c r="B60">
        <f>8.1*10^(-15)*EXP(9.24*Model!$D$30)</f>
        <v>1.3048769990046978E-12</v>
      </c>
      <c r="C60">
        <f>(1-Model!$D$33)*Column_D!B60</f>
        <v>9.1341389930328842E-13</v>
      </c>
    </row>
    <row r="61" spans="1:3">
      <c r="A61" t="s">
        <v>9</v>
      </c>
      <c r="B61">
        <f>1.2*10^(-15)*EXP(8.4*Model!$D$30)</f>
        <v>1.2179283855545485E-13</v>
      </c>
      <c r="C61">
        <f>(1-Model!$D$33)*Column_D!B61</f>
        <v>8.525498698881839E-14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Model</vt:lpstr>
      <vt:lpstr>Column_B</vt:lpstr>
      <vt:lpstr>Column_C</vt:lpstr>
      <vt:lpstr>Column_D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smilauer</cp:lastModifiedBy>
  <dcterms:created xsi:type="dcterms:W3CDTF">2014-04-15T09:58:03Z</dcterms:created>
  <dcterms:modified xsi:type="dcterms:W3CDTF">2015-06-10T15:42:21Z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